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\\pmpa-fs3\smpg-dlc$\UCRP\SITE DLC\_INCLUIR NO SITE\"/>
    </mc:Choice>
  </mc:AlternateContent>
  <xr:revisionPtr revIDLastSave="0" documentId="13_ncr:1_{BEE0C894-E8D0-4EBD-9C23-3E429B585A1B}" xr6:coauthVersionLast="47" xr6:coauthVersionMax="47" xr10:uidLastSave="{00000000-0000-0000-0000-000000000000}"/>
  <bookViews>
    <workbookView xWindow="28680" yWindow="-120" windowWidth="29040" windowHeight="15720" tabRatio="910" xr2:uid="{00000000-000D-0000-FFFF-FFFF00000000}"/>
  </bookViews>
  <sheets>
    <sheet name="Orçamento N_DESON." sheetId="9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9" l="1"/>
  <c r="W2" i="9"/>
  <c r="X34" i="9" l="1"/>
  <c r="X33" i="9"/>
  <c r="X32" i="9"/>
  <c r="X31" i="9"/>
  <c r="X21" i="9"/>
  <c r="X20" i="9"/>
  <c r="X19" i="9"/>
  <c r="X18" i="9"/>
  <c r="W34" i="9"/>
  <c r="W33" i="9"/>
  <c r="W32" i="9"/>
  <c r="W31" i="9"/>
  <c r="W21" i="9"/>
  <c r="W20" i="9"/>
  <c r="W19" i="9"/>
  <c r="W18" i="9"/>
  <c r="J20" i="9" l="1"/>
  <c r="Z20" i="9" s="1"/>
  <c r="J21" i="9"/>
  <c r="Z21" i="9" s="1"/>
  <c r="J31" i="9"/>
  <c r="Z31" i="9" s="1"/>
  <c r="J18" i="9"/>
  <c r="Z18" i="9" s="1"/>
  <c r="J19" i="9"/>
  <c r="Z19" i="9" s="1"/>
  <c r="J33" i="9" l="1"/>
  <c r="Z33" i="9" s="1"/>
  <c r="J32" i="9"/>
  <c r="Z32" i="9" s="1"/>
  <c r="AA33" i="9" l="1"/>
  <c r="AA32" i="9"/>
  <c r="AA31" i="9"/>
  <c r="AA21" i="9"/>
  <c r="AA20" i="9"/>
  <c r="AA19" i="9"/>
  <c r="AA18" i="9"/>
  <c r="J34" i="9" l="1"/>
  <c r="Z34" i="9" s="1"/>
  <c r="T35" i="9"/>
  <c r="T37" i="9"/>
  <c r="S37" i="9" l="1"/>
  <c r="L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T19" i="9" l="1"/>
  <c r="T32" i="9"/>
  <c r="T20" i="9"/>
  <c r="T18" i="9"/>
  <c r="T21" i="9"/>
  <c r="T33" i="9"/>
  <c r="L20" i="9" l="1"/>
  <c r="P20" i="9" s="1"/>
  <c r="L31" i="9"/>
  <c r="P31" i="9" s="1"/>
  <c r="L33" i="9"/>
  <c r="P33" i="9" s="1"/>
  <c r="L19" i="9"/>
  <c r="P19" i="9" s="1"/>
  <c r="L18" i="9"/>
  <c r="P18" i="9" s="1"/>
  <c r="L21" i="9"/>
  <c r="P21" i="9" s="1"/>
  <c r="L32" i="9"/>
  <c r="P32" i="9" s="1"/>
  <c r="L34" i="9"/>
  <c r="N19" i="9"/>
  <c r="N31" i="9"/>
  <c r="N20" i="9"/>
  <c r="N32" i="9"/>
  <c r="N33" i="9"/>
  <c r="N21" i="9"/>
  <c r="N18" i="9"/>
  <c r="N34" i="9"/>
  <c r="T34" i="9" l="1"/>
  <c r="X25" i="9"/>
  <c r="W25" i="9"/>
  <c r="T31" i="9"/>
  <c r="O21" i="9"/>
  <c r="O19" i="9"/>
  <c r="O32" i="9"/>
  <c r="O20" i="9"/>
  <c r="O33" i="9"/>
  <c r="O31" i="9"/>
  <c r="O18" i="9"/>
  <c r="T25" i="9" l="1"/>
  <c r="X26" i="9"/>
  <c r="T26" i="9" s="1"/>
  <c r="W26" i="9"/>
  <c r="W14" i="9"/>
  <c r="N25" i="9" l="1"/>
  <c r="J25" i="9"/>
  <c r="Z25" i="9" s="1"/>
  <c r="AA25" i="9" s="1"/>
  <c r="X27" i="9"/>
  <c r="T27" i="9" s="1"/>
  <c r="X14" i="9"/>
  <c r="T14" i="9" s="1"/>
  <c r="W27" i="9"/>
  <c r="N26" i="9" l="1"/>
  <c r="J26" i="9"/>
  <c r="Z26" i="9" s="1"/>
  <c r="AA26" i="9" s="1"/>
  <c r="L25" i="9"/>
  <c r="P25" i="9" s="1"/>
  <c r="J14" i="9"/>
  <c r="X17" i="9"/>
  <c r="T17" i="9" s="1"/>
  <c r="N14" i="9"/>
  <c r="W22" i="9"/>
  <c r="M39" i="9"/>
  <c r="Z14" i="9" l="1"/>
  <c r="AA14" i="9" s="1"/>
  <c r="L14" i="9"/>
  <c r="P14" i="9" s="1"/>
  <c r="O14" i="9" s="1"/>
  <c r="N27" i="9"/>
  <c r="J27" i="9"/>
  <c r="Z27" i="9" s="1"/>
  <c r="AA27" i="9" s="1"/>
  <c r="O25" i="9"/>
  <c r="L26" i="9"/>
  <c r="P26" i="9" s="1"/>
  <c r="W17" i="9"/>
  <c r="W23" i="9"/>
  <c r="O26" i="9" l="1"/>
  <c r="L27" i="9"/>
  <c r="P27" i="9" s="1"/>
  <c r="W24" i="9"/>
  <c r="W11" i="9" l="1"/>
  <c r="N17" i="9"/>
  <c r="J17" i="9"/>
  <c r="Z17" i="9" s="1"/>
  <c r="AA17" i="9" s="1"/>
  <c r="O27" i="9"/>
  <c r="X12" i="9"/>
  <c r="O12" i="9" s="1"/>
  <c r="L17" i="9" l="1"/>
  <c r="P17" i="9" s="1"/>
  <c r="W13" i="9"/>
  <c r="O17" i="9" l="1"/>
  <c r="W15" i="9"/>
  <c r="W30" i="9" l="1"/>
  <c r="W16" i="9"/>
  <c r="W12" i="9"/>
  <c r="J12" i="9" s="1"/>
  <c r="Z12" i="9" s="1"/>
  <c r="AA12" i="9" s="1"/>
  <c r="W28" i="9"/>
  <c r="W29" i="9"/>
  <c r="L12" i="9" l="1"/>
  <c r="P12" i="9" s="1"/>
  <c r="N12" i="9" l="1"/>
  <c r="T12" i="9" s="1"/>
  <c r="X11" i="9" l="1"/>
  <c r="J11" i="9" s="1"/>
  <c r="Z11" i="9" s="1"/>
  <c r="AA11" i="9" s="1"/>
  <c r="X16" i="9"/>
  <c r="J16" i="9" s="1"/>
  <c r="Z16" i="9" s="1"/>
  <c r="AA16" i="9" s="1"/>
  <c r="X24" i="9"/>
  <c r="X15" i="9"/>
  <c r="X22" i="9"/>
  <c r="X29" i="9"/>
  <c r="X13" i="9"/>
  <c r="O13" i="9" s="1"/>
  <c r="X28" i="9"/>
  <c r="X30" i="9"/>
  <c r="X23" i="9"/>
  <c r="N11" i="9"/>
  <c r="T11" i="9"/>
  <c r="L11" i="9" l="1"/>
  <c r="P11" i="9" s="1"/>
  <c r="O11" i="9" s="1"/>
  <c r="O16" i="9"/>
  <c r="T23" i="9"/>
  <c r="J23" i="9"/>
  <c r="Z23" i="9" s="1"/>
  <c r="AA23" i="9" s="1"/>
  <c r="N30" i="9"/>
  <c r="J30" i="9"/>
  <c r="Z30" i="9" s="1"/>
  <c r="AA30" i="9" s="1"/>
  <c r="N28" i="9"/>
  <c r="J28" i="9"/>
  <c r="Z28" i="9" s="1"/>
  <c r="AA28" i="9" s="1"/>
  <c r="J13" i="9"/>
  <c r="Z13" i="9" s="1"/>
  <c r="AA13" i="9" s="1"/>
  <c r="N29" i="9"/>
  <c r="J29" i="9"/>
  <c r="Z29" i="9" s="1"/>
  <c r="AA29" i="9" s="1"/>
  <c r="T22" i="9"/>
  <c r="J22" i="9"/>
  <c r="Z22" i="9" s="1"/>
  <c r="AA22" i="9" s="1"/>
  <c r="T15" i="9"/>
  <c r="J15" i="9"/>
  <c r="Z15" i="9" s="1"/>
  <c r="AA15" i="9" s="1"/>
  <c r="T24" i="9"/>
  <c r="J24" i="9"/>
  <c r="Z24" i="9" s="1"/>
  <c r="AA24" i="9" s="1"/>
  <c r="L16" i="9"/>
  <c r="P16" i="9" s="1"/>
  <c r="N23" i="9"/>
  <c r="N15" i="9"/>
  <c r="N22" i="9"/>
  <c r="N24" i="9"/>
  <c r="T30" i="9"/>
  <c r="T29" i="9"/>
  <c r="T28" i="9"/>
  <c r="L15" i="9" l="1"/>
  <c r="P15" i="9" s="1"/>
  <c r="L22" i="9"/>
  <c r="P22" i="9" s="1"/>
  <c r="L29" i="9"/>
  <c r="P29" i="9" s="1"/>
  <c r="L24" i="9"/>
  <c r="P24" i="9" s="1"/>
  <c r="L13" i="9"/>
  <c r="P13" i="9" s="1"/>
  <c r="L28" i="9"/>
  <c r="P28" i="9" s="1"/>
  <c r="L30" i="9"/>
  <c r="P30" i="9" s="1"/>
  <c r="N16" i="9"/>
  <c r="T16" i="9" s="1"/>
  <c r="L23" i="9"/>
  <c r="P23" i="9" s="1"/>
  <c r="O15" i="9" l="1"/>
  <c r="O29" i="9"/>
  <c r="O22" i="9"/>
  <c r="N13" i="9"/>
  <c r="O23" i="9"/>
  <c r="O30" i="9"/>
  <c r="O28" i="9"/>
  <c r="O24" i="9"/>
  <c r="T13" i="9" l="1"/>
  <c r="N36" i="9"/>
  <c r="N39" i="9" l="1"/>
  <c r="F34" i="9"/>
  <c r="AA34" i="9" s="1"/>
  <c r="AA35" i="9" s="1"/>
  <c r="O34" i="9"/>
  <c r="O36" i="9" s="1"/>
  <c r="P36" i="9"/>
  <c r="P39" i="9" s="1"/>
  <c r="U36" i="9" l="1"/>
  <c r="V36" i="9" s="1"/>
  <c r="O39" i="9"/>
  <c r="N40" i="9"/>
  <c r="T36" i="9"/>
  <c r="P10" i="9"/>
</calcChain>
</file>

<file path=xl/sharedStrings.xml><?xml version="1.0" encoding="utf-8"?>
<sst xmlns="http://schemas.openxmlformats.org/spreadsheetml/2006/main" count="149" uniqueCount="105">
  <si>
    <t>SINAPI</t>
  </si>
  <si>
    <t>CCU</t>
  </si>
  <si>
    <t>CREA/RS</t>
  </si>
  <si>
    <t>Tabela Não Desonerada</t>
  </si>
  <si>
    <t>PLANILHA ORÇAMENTÁRIA</t>
  </si>
  <si>
    <t>Local:</t>
  </si>
  <si>
    <t>Item</t>
  </si>
  <si>
    <t>Código</t>
  </si>
  <si>
    <t>Fonte</t>
  </si>
  <si>
    <t>Descrição</t>
  </si>
  <si>
    <t>Unid.</t>
  </si>
  <si>
    <t>Quant.</t>
  </si>
  <si>
    <t>Custo Unitário (R$)</t>
  </si>
  <si>
    <t>BDI</t>
  </si>
  <si>
    <t>Preço Unitário (R$)</t>
  </si>
  <si>
    <t>Preço Total (R$)</t>
  </si>
  <si>
    <t>Mão de Obra</t>
  </si>
  <si>
    <t>Total</t>
  </si>
  <si>
    <t xml:space="preserve"> TOTAL GERAL DO ORÇAMENTO R$</t>
  </si>
  <si>
    <t>Observações:</t>
  </si>
  <si>
    <t>Processo SEI:</t>
  </si>
  <si>
    <t>Objeto:</t>
  </si>
  <si>
    <t>Responsável Técnico:</t>
  </si>
  <si>
    <t>Título:</t>
  </si>
  <si>
    <t>Matrícula:</t>
  </si>
  <si>
    <t>Encargos sociais SINAPI (hora):</t>
  </si>
  <si>
    <t>Encargos sociais SINAPI (mês):</t>
  </si>
  <si>
    <t>(digite a descrição do item aqui)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</si>
  <si>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</si>
  <si>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</si>
  <si>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</si>
  <si>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</si>
  <si>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</si>
  <si>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</si>
  <si>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</si>
  <si>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</si>
  <si>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</si>
  <si>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</si>
  <si>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</si>
  <si>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</si>
  <si>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</si>
  <si>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</si>
  <si>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</si>
  <si>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</si>
  <si>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</si>
  <si>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</si>
  <si>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</si>
  <si>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</si>
  <si>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</si>
  <si>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</si>
  <si>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</si>
  <si>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</si>
  <si>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CCU-01</t>
  </si>
  <si>
    <t>CCU-02</t>
  </si>
  <si>
    <t>CCU-03</t>
  </si>
  <si>
    <t>CCU-04</t>
  </si>
  <si>
    <t>CCU-05</t>
  </si>
  <si>
    <t>CCU-06</t>
  </si>
  <si>
    <t>CCU-07</t>
  </si>
  <si>
    <t>CCU-08</t>
  </si>
  <si>
    <t>CCU-09</t>
  </si>
  <si>
    <t>CCU-10</t>
  </si>
  <si>
    <t>CCU-11</t>
  </si>
  <si>
    <t>CCU-12</t>
  </si>
  <si>
    <t>CCU-13</t>
  </si>
  <si>
    <t>CCU-14</t>
  </si>
  <si>
    <t>CCU-15</t>
  </si>
  <si>
    <t>CCU-16</t>
  </si>
  <si>
    <t>M</t>
  </si>
  <si>
    <t>UN</t>
  </si>
  <si>
    <t>H</t>
  </si>
  <si>
    <t>DIA</t>
  </si>
  <si>
    <t>Percentual de mão de obra em relação ao valor total (Ordem de Serviço nº 03/2021)</t>
  </si>
  <si>
    <t>COMPOSICAO_PROPRIA</t>
  </si>
  <si>
    <t>Material + Equipamento</t>
  </si>
  <si>
    <t>TUBO EM COBRE FLEXÍVEL, DN 1/2", COM ISOLAMENTO, INSTALADO EM FORRO, PARA RAMAL DE ALIMENTAÇÃO DE AR CONDICIONADO, INCLUSO FIXADOR. AF_11/2021</t>
  </si>
  <si>
    <t>TUBO EM COBRE FLEXÍVEL, DN 1/4", COM ISOLAMENTO, INSTALADO EM FORRO, PARA RAMAL DE ALIMENTAÇÃO DE AR CONDICIONADO, INCLUSO FIXADOR. AF_11/2021</t>
  </si>
  <si>
    <t>TUBO EM COBRE FLEXÍVEL, DN 3/8", COM ISOLAMENTO, INSTALADO EM FORRO, PARA RAMAL DE ALIMENTAÇÃO DE AR CONDICIONADO, INCLUSO FIXADOR. AF_11/2021</t>
  </si>
  <si>
    <t>TUBO EM COBRE FLEXÍVEL, DN 5/8", COM ISOLAMENTO, INSTALADO EM FORRO, PARA RAMAL DE ALIMENTAÇÃO DE AR CONDICIONADO, INCLUSO FIXADOR. AF_11/2021</t>
  </si>
  <si>
    <t>2 - O BDI utilizado deverá respeitar o percentual máximo e diretrizes definidas pelo Decreto Municipal nº 23.379/2025, bem como o BDI diferenciado para o fornecimento de materiais e/ou equipamentos de natureza específica, que possam ser fornecidos por empresas com especialidades próprias e diversas da empresa a ser contratada;
3 - Foi utilizada fórmula arred em duas casas decimais para o preço total.</t>
  </si>
  <si>
    <t>PONTO DE ENERGIA ELÉTRICA, INCLUSOS INSTALAÇÃO E FORNECIMENTO DE DISPOSITIVO DE PROTEÇÃO E REDE, CONFORME ESPECIFICAÇÃO DO FABRICANTE</t>
  </si>
  <si>
    <t>25.0.000176788-0</t>
  </si>
  <si>
    <t>Registro de Preço para contratação de empresa, ou consórcio de empresas, para prestação de serviços de assistência técnica para manutenção preventiva, corretiva, instalação e desinstalação em aparelhos de ar condicionado, tipo SPLIT e janela, para atender aos órgãos da Administração Pública Municipal  de Porto Alegre.</t>
  </si>
  <si>
    <t>ALPINISMO PREDIAL (RAPEL) DE ACORDO COM A NR-35</t>
  </si>
  <si>
    <t>INSTALAÇÃO DE AR CONDICIONADO</t>
  </si>
  <si>
    <t>DESINSTALAÇÃO DE AR CONDICIONADO</t>
  </si>
  <si>
    <t xml:space="preserve">TUBO EM COBRE FLEXÍVEL, DN 7/8", PARA RAMAL DE ALIMENTAÇÃO DE AR CONDICIONADO, SEGUINDO AS ORIENTAÇÕES DOS MANUAIS DE INSTALAÇÃO DE CADA FABRICANTE. ISOLADO COM ESPUMA ELASTOMÉRICA ENVOLVIDA POR FITA PLÁSTICA CLASSE "A", INCLUSO FIXADOR. </t>
  </si>
  <si>
    <t>REPOSIÇÃO DE GÁS R22</t>
  </si>
  <si>
    <t>REPOSIÇÃO DE GÁS R32</t>
  </si>
  <si>
    <t>REPOSIÇÃO DE GÁS R410A</t>
  </si>
  <si>
    <t>PROVISIONAMENTO DE PEÇAS</t>
  </si>
  <si>
    <t xml:space="preserve">TUBO EM COBRE FLEXÍVEL, DN 3/4", PARA RAMAL DE ALIMENTAÇÃO DE AR CONDICIONADO, SEGUINDO AS ORIENTAÇÕES DOS MANUAIS DE INSTALAÇÃO DE CADA FABRICANTE. ISOLADO COM ESPUMA ELASTOMÉRICA ENVOLVIDA POR FITA PLÁSTICA CLASSE "A", INCLUSO FIXADOR. </t>
  </si>
  <si>
    <t>ISOLAMENTO TÉRMICO EM SISTEMA EXISTENTE,  INCLUSOS FORNECIMENTO E INSTALAÇÃO</t>
  </si>
  <si>
    <t>MANUTENÇÃO PREVENTIVA</t>
  </si>
  <si>
    <t>MANUTENÇÃO CORRETIVA (HORA TÉCNICA)</t>
  </si>
  <si>
    <t>VISTORIA PRÉVIA (HORA TÉCNICA)</t>
  </si>
  <si>
    <t>MONTAGEM E DESMONTAGEM DE ANDAIME, LARGURA MÍNIMA DE 1,5M E ALTURA 3M, INCLUSOS FORNECIMENTO E INSTALAÇÃO</t>
  </si>
  <si>
    <t>MONTAGEM E DESMONTAGEM DE ANDAIME, LARGURA MÍNIMA DE 1,5M E ALTURA 4M, INCLUSOS FORNECIMENTO E INSTALAÇÃO</t>
  </si>
  <si>
    <t>MONTAGEM E DESMONTAGEM DE ANDAIME, LARGURA MÍNIMA DE 1,5M E ALTURA 6M, INCLUSOS FORNECIMENTO E INSTALAÇÃO</t>
  </si>
  <si>
    <t>PROTETOR EXTERNO PARA AR CONDICIONADO, EM FIBRA, 7.000 A 12.000 BTUS, CONFORME ANEXO A DO TERMO DE REFERÊNCIA. FORNECIMENTO, INSTALAÇÃO E PINTURA NA COR A SER DEFINIDA PELA FISCALIZAÇÃO</t>
  </si>
  <si>
    <t>PROTETOR EXTERNO PARA AR CONDICIONADO, EM FIBRA, 12.000 A 18.000 BTUS, CONFORME ANEXO A DO TERMO DE REFERÊNCIA. FORNECIMENTO, INSTALAÇÃO E PINTURA NA COR A SER DEFINIDA PELA FISCALIZAÇÃO</t>
  </si>
  <si>
    <t>PROTETOR EXTERNO PARA AR CONDICIONADO, EM FIBRA, 18.000 A 30.000 BTUS, CONFORME ANEXO A DO TERMO DE REFERÊNCIA. FORNECIMENTO, INSTALAÇÃO E PINTURA NA COR A SER DEFINIDA PELA FISCALIZAÇÃO</t>
  </si>
  <si>
    <t>(preencher este campo com o local da prestação dos serviços)</t>
  </si>
  <si>
    <t>1 - Foi utilizada data base SINAPI set/2025;</t>
  </si>
  <si>
    <r>
      <t xml:space="preserve">PE 020/2026
</t>
    </r>
    <r>
      <rPr>
        <b/>
        <sz val="10"/>
        <color theme="1"/>
        <rFont val="Arial"/>
        <family val="2"/>
      </rPr>
      <t xml:space="preserve">
</t>
    </r>
    <r>
      <rPr>
        <b/>
        <sz val="18"/>
        <color theme="1"/>
        <rFont val="Arial"/>
        <family val="2"/>
      </rPr>
      <t>REGISTRO DE PREÇOS DE MANUTENÇÃO, INSTALAÇÃO E DESINSTALAÇÃO DE AR CONDICIONADO</t>
    </r>
    <r>
      <rPr>
        <b/>
        <sz val="2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</si>
</sst>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[$-416]mmm\-yy"/>
    <numFmt numFmtId="166" formatCode="_(* #,##0.00_);_(* \(#,##0.00\);_(* \-??_);_(@_)"/>
    <numFmt numFmtId="167" formatCode="#,##0.00\ ;&quot; (&quot;#,##0.00\);&quot; -&quot;#\ ;@\ "/>
    <numFmt numFmtId="173" formatCode="#,##0.00000000"/>
  </numFmts>
  <fonts count="2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ajor"/>
    </font>
    <font>
      <sz val="12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2"/>
      <color rgb="FFD8D8D8"/>
      <name val="Calibri"/>
      <family val="2"/>
      <scheme val="major"/>
    </font>
    <font>
      <sz val="12"/>
      <color rgb="FFFF0000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1" fillId="0" borderId="9"/>
    <xf numFmtId="9" fontId="1" fillId="0" borderId="9" applyFont="0" applyFill="0" applyBorder="0" applyAlignment="0" applyProtection="0"/>
    <xf numFmtId="44" fontId="1" fillId="0" borderId="9" applyFont="0" applyFill="0" applyBorder="0" applyAlignment="0" applyProtection="0"/>
    <xf numFmtId="9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9"/>
    <xf numFmtId="0" fontId="12" fillId="0" borderId="9"/>
  </cellStyleXfs>
  <cellXfs count="147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Protection="1">
      <protection hidden="1"/>
    </xf>
    <xf numFmtId="0" fontId="0" fillId="7" borderId="0" xfId="0" applyFill="1" applyProtection="1">
      <protection hidden="1"/>
    </xf>
    <xf numFmtId="0" fontId="0" fillId="0" borderId="0" xfId="0" applyProtection="1">
      <protection hidden="1"/>
    </xf>
    <xf numFmtId="164" fontId="4" fillId="2" borderId="1" xfId="5" applyFont="1" applyFill="1" applyBorder="1" applyAlignment="1" applyProtection="1">
      <alignment horizontal="center" vertical="center"/>
      <protection hidden="1"/>
    </xf>
    <xf numFmtId="0" fontId="17" fillId="2" borderId="6" xfId="0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right" vertical="center"/>
      <protection hidden="1"/>
    </xf>
    <xf numFmtId="0" fontId="19" fillId="2" borderId="1" xfId="0" applyFont="1" applyFill="1" applyBorder="1" applyAlignment="1" applyProtection="1">
      <alignment horizontal="right" vertical="center"/>
      <protection hidden="1"/>
    </xf>
    <xf numFmtId="165" fontId="19" fillId="2" borderId="10" xfId="0" applyNumberFormat="1" applyFont="1" applyFill="1" applyBorder="1" applyAlignment="1" applyProtection="1">
      <alignment horizontal="center" vertical="center"/>
      <protection hidden="1"/>
    </xf>
    <xf numFmtId="4" fontId="19" fillId="2" borderId="1" xfId="0" applyNumberFormat="1" applyFont="1" applyFill="1" applyBorder="1" applyAlignment="1" applyProtection="1">
      <alignment horizontal="right" vertical="center"/>
      <protection hidden="1"/>
    </xf>
    <xf numFmtId="10" fontId="19" fillId="2" borderId="10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4" fontId="19" fillId="2" borderId="13" xfId="0" applyNumberFormat="1" applyFont="1" applyFill="1" applyBorder="1" applyAlignment="1" applyProtection="1">
      <alignment horizontal="right" vertical="center"/>
      <protection hidden="1"/>
    </xf>
    <xf numFmtId="10" fontId="19" fillId="2" borderId="14" xfId="0" applyNumberFormat="1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Protection="1">
      <protection hidden="1"/>
    </xf>
    <xf numFmtId="0" fontId="13" fillId="7" borderId="9" xfId="0" applyFont="1" applyFill="1" applyBorder="1" applyProtection="1">
      <protection hidden="1"/>
    </xf>
    <xf numFmtId="4" fontId="17" fillId="3" borderId="2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4" fontId="14" fillId="3" borderId="9" xfId="0" applyNumberFormat="1" applyFont="1" applyFill="1" applyBorder="1" applyAlignment="1" applyProtection="1">
      <alignment horizontal="center" vertical="center" wrapText="1"/>
      <protection hidden="1"/>
    </xf>
    <xf numFmtId="4" fontId="14" fillId="8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wrapText="1"/>
      <protection hidden="1"/>
    </xf>
    <xf numFmtId="0" fontId="19" fillId="2" borderId="6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0" fontId="19" fillId="2" borderId="10" xfId="0" applyFont="1" applyFill="1" applyBorder="1" applyAlignment="1" applyProtection="1">
      <alignment horizontal="center" vertical="center"/>
      <protection hidden="1"/>
    </xf>
    <xf numFmtId="0" fontId="17" fillId="5" borderId="21" xfId="0" applyFont="1" applyFill="1" applyBorder="1" applyAlignment="1" applyProtection="1">
      <alignment horizontal="center" vertical="center"/>
      <protection hidden="1"/>
    </xf>
    <xf numFmtId="0" fontId="17" fillId="5" borderId="22" xfId="0" applyFont="1" applyFill="1" applyBorder="1" applyAlignment="1" applyProtection="1">
      <alignment horizontal="left" vertical="center"/>
      <protection hidden="1"/>
    </xf>
    <xf numFmtId="0" fontId="17" fillId="5" borderId="22" xfId="0" applyFont="1" applyFill="1" applyBorder="1" applyAlignment="1" applyProtection="1">
      <alignment vertical="center"/>
      <protection hidden="1"/>
    </xf>
    <xf numFmtId="0" fontId="19" fillId="5" borderId="22" xfId="0" applyFont="1" applyFill="1" applyBorder="1" applyAlignment="1" applyProtection="1">
      <alignment horizontal="center" vertical="center"/>
      <protection hidden="1"/>
    </xf>
    <xf numFmtId="166" fontId="20" fillId="5" borderId="23" xfId="0" applyNumberFormat="1" applyFont="1" applyFill="1" applyBorder="1" applyAlignment="1" applyProtection="1">
      <alignment vertical="center"/>
      <protection hidden="1"/>
    </xf>
    <xf numFmtId="0" fontId="19" fillId="0" borderId="24" xfId="0" applyFont="1" applyBorder="1" applyAlignment="1" applyProtection="1">
      <alignment horizontal="center" vertical="center"/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167" fontId="19" fillId="0" borderId="25" xfId="0" applyNumberFormat="1" applyFont="1" applyBorder="1" applyAlignment="1" applyProtection="1">
      <alignment horizontal="center" vertical="center" wrapText="1"/>
      <protection hidden="1"/>
    </xf>
    <xf numFmtId="0" fontId="19" fillId="0" borderId="25" xfId="0" applyFont="1" applyBorder="1" applyAlignment="1" applyProtection="1">
      <alignment horizontal="left" vertical="center" wrapText="1"/>
      <protection hidden="1"/>
    </xf>
    <xf numFmtId="4" fontId="19" fillId="0" borderId="24" xfId="0" applyNumberFormat="1" applyFont="1" applyBorder="1" applyAlignment="1" applyProtection="1">
      <alignment horizontal="center" vertical="center" wrapText="1"/>
      <protection hidden="1"/>
    </xf>
    <xf numFmtId="4" fontId="19" fillId="0" borderId="25" xfId="0" applyNumberFormat="1" applyFont="1" applyBorder="1" applyAlignment="1" applyProtection="1">
      <alignment horizontal="center" vertical="center" wrapText="1"/>
      <protection hidden="1"/>
    </xf>
    <xf numFmtId="10" fontId="19" fillId="0" borderId="25" xfId="0" applyNumberFormat="1" applyFont="1" applyBorder="1" applyAlignment="1" applyProtection="1">
      <alignment horizontal="center" vertical="center"/>
      <protection hidden="1"/>
    </xf>
    <xf numFmtId="4" fontId="19" fillId="0" borderId="26" xfId="0" applyNumberFormat="1" applyFont="1" applyBorder="1" applyAlignment="1" applyProtection="1">
      <alignment horizontal="center" vertical="center"/>
      <protection hidden="1"/>
    </xf>
    <xf numFmtId="4" fontId="19" fillId="0" borderId="24" xfId="0" applyNumberFormat="1" applyFont="1" applyBorder="1" applyAlignment="1" applyProtection="1">
      <alignment horizontal="center" vertical="center"/>
      <protection hidden="1"/>
    </xf>
    <xf numFmtId="4" fontId="2" fillId="2" borderId="1" xfId="0" applyNumberFormat="1" applyFont="1" applyFill="1" applyBorder="1" applyAlignment="1" applyProtection="1">
      <alignment horizontal="center" vertical="center"/>
      <protection hidden="1"/>
    </xf>
    <xf numFmtId="4" fontId="15" fillId="0" borderId="9" xfId="0" applyNumberFormat="1" applyFont="1" applyBorder="1" applyAlignment="1" applyProtection="1">
      <alignment horizontal="center" vertical="center" wrapText="1"/>
      <protection hidden="1"/>
    </xf>
    <xf numFmtId="0" fontId="19" fillId="0" borderId="31" xfId="0" applyFont="1" applyBorder="1" applyAlignment="1" applyProtection="1">
      <alignment horizontal="center" vertical="center" wrapText="1"/>
      <protection hidden="1"/>
    </xf>
    <xf numFmtId="167" fontId="19" fillId="0" borderId="31" xfId="0" applyNumberFormat="1" applyFont="1" applyBorder="1" applyAlignment="1" applyProtection="1">
      <alignment horizontal="center" vertical="center" wrapText="1"/>
      <protection hidden="1"/>
    </xf>
    <xf numFmtId="0" fontId="19" fillId="0" borderId="27" xfId="0" applyFont="1" applyBorder="1" applyAlignment="1" applyProtection="1">
      <alignment horizontal="center" vertical="center"/>
      <protection hidden="1"/>
    </xf>
    <xf numFmtId="0" fontId="19" fillId="0" borderId="27" xfId="0" applyFont="1" applyBorder="1" applyAlignment="1" applyProtection="1">
      <alignment horizontal="center" vertical="center" wrapText="1"/>
      <protection hidden="1"/>
    </xf>
    <xf numFmtId="0" fontId="19" fillId="3" borderId="28" xfId="0" applyFont="1" applyFill="1" applyBorder="1" applyAlignment="1" applyProtection="1">
      <alignment horizontal="left" vertical="center" wrapText="1"/>
      <protection hidden="1"/>
    </xf>
    <xf numFmtId="0" fontId="19" fillId="3" borderId="28" xfId="0" applyFont="1" applyFill="1" applyBorder="1" applyAlignment="1" applyProtection="1">
      <alignment horizontal="center" vertical="center" wrapText="1"/>
      <protection hidden="1"/>
    </xf>
    <xf numFmtId="2" fontId="19" fillId="3" borderId="28" xfId="0" applyNumberFormat="1" applyFont="1" applyFill="1" applyBorder="1" applyAlignment="1" applyProtection="1">
      <alignment horizontal="center" vertical="center" wrapText="1"/>
      <protection hidden="1"/>
    </xf>
    <xf numFmtId="2" fontId="19" fillId="3" borderId="29" xfId="0" applyNumberFormat="1" applyFont="1" applyFill="1" applyBorder="1" applyAlignment="1" applyProtection="1">
      <alignment horizontal="center" vertical="center" wrapText="1"/>
      <protection hidden="1"/>
    </xf>
    <xf numFmtId="0" fontId="19" fillId="3" borderId="29" xfId="0" applyFont="1" applyFill="1" applyBorder="1" applyAlignment="1" applyProtection="1">
      <alignment horizontal="center" vertical="center" wrapText="1"/>
      <protection hidden="1"/>
    </xf>
    <xf numFmtId="0" fontId="19" fillId="2" borderId="28" xfId="0" applyFont="1" applyFill="1" applyBorder="1" applyAlignment="1" applyProtection="1">
      <alignment horizontal="center" vertical="center"/>
      <protection hidden="1"/>
    </xf>
    <xf numFmtId="166" fontId="19" fillId="0" borderId="30" xfId="0" applyNumberFormat="1" applyFont="1" applyBorder="1" applyAlignment="1" applyProtection="1">
      <alignment horizontal="center" vertical="center"/>
      <protection hidden="1"/>
    </xf>
    <xf numFmtId="166" fontId="19" fillId="0" borderId="27" xfId="0" applyNumberFormat="1" applyFont="1" applyBorder="1" applyAlignment="1" applyProtection="1">
      <alignment horizontal="center" vertical="center"/>
      <protection hidden="1"/>
    </xf>
    <xf numFmtId="0" fontId="17" fillId="5" borderId="21" xfId="0" applyFont="1" applyFill="1" applyBorder="1" applyAlignment="1" applyProtection="1">
      <alignment horizontal="right" vertical="center" wrapText="1"/>
      <protection hidden="1"/>
    </xf>
    <xf numFmtId="0" fontId="17" fillId="5" borderId="22" xfId="0" applyFont="1" applyFill="1" applyBorder="1" applyAlignment="1" applyProtection="1">
      <alignment horizontal="right" vertical="center" wrapText="1"/>
      <protection hidden="1"/>
    </xf>
    <xf numFmtId="0" fontId="17" fillId="5" borderId="22" xfId="0" applyFont="1" applyFill="1" applyBorder="1" applyAlignment="1" applyProtection="1">
      <alignment horizontal="right" vertical="center"/>
      <protection hidden="1"/>
    </xf>
    <xf numFmtId="4" fontId="17" fillId="5" borderId="3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19" fillId="2" borderId="6" xfId="0" applyFont="1" applyFill="1" applyBorder="1" applyAlignment="1" applyProtection="1">
      <alignment horizontal="left" vertical="center"/>
      <protection hidden="1"/>
    </xf>
    <xf numFmtId="0" fontId="19" fillId="2" borderId="1" xfId="0" applyFont="1" applyFill="1" applyBorder="1" applyAlignment="1" applyProtection="1">
      <alignment horizontal="left" vertical="center"/>
      <protection hidden="1"/>
    </xf>
    <xf numFmtId="0" fontId="19" fillId="2" borderId="32" xfId="0" applyFont="1" applyFill="1" applyBorder="1" applyAlignment="1" applyProtection="1">
      <alignment horizontal="left" vertical="center"/>
      <protection hidden="1"/>
    </xf>
    <xf numFmtId="0" fontId="19" fillId="2" borderId="13" xfId="0" applyFont="1" applyFill="1" applyBorder="1" applyAlignment="1" applyProtection="1">
      <alignment horizontal="center" vertical="center"/>
      <protection hidden="1"/>
    </xf>
    <xf numFmtId="0" fontId="19" fillId="2" borderId="13" xfId="0" applyFont="1" applyFill="1" applyBorder="1" applyAlignment="1" applyProtection="1">
      <alignment horizontal="left" vertical="center"/>
      <protection hidden="1"/>
    </xf>
    <xf numFmtId="49" fontId="17" fillId="5" borderId="41" xfId="0" applyNumberFormat="1" applyFont="1" applyFill="1" applyBorder="1" applyAlignment="1" applyProtection="1">
      <alignment horizontal="right" vertical="center" wrapText="1"/>
      <protection hidden="1"/>
    </xf>
    <xf numFmtId="49" fontId="17" fillId="5" borderId="42" xfId="0" applyNumberFormat="1" applyFont="1" applyFill="1" applyBorder="1" applyAlignment="1" applyProtection="1">
      <alignment horizontal="right" vertical="center" wrapText="1"/>
      <protection hidden="1"/>
    </xf>
    <xf numFmtId="0" fontId="17" fillId="5" borderId="42" xfId="0" applyFont="1" applyFill="1" applyBorder="1" applyAlignment="1" applyProtection="1">
      <alignment horizontal="right" vertical="center" wrapText="1"/>
      <protection hidden="1"/>
    </xf>
    <xf numFmtId="0" fontId="19" fillId="5" borderId="42" xfId="0" applyFont="1" applyFill="1" applyBorder="1" applyAlignment="1" applyProtection="1">
      <alignment horizontal="center" vertical="center"/>
      <protection hidden="1"/>
    </xf>
    <xf numFmtId="0" fontId="17" fillId="5" borderId="42" xfId="0" applyFont="1" applyFill="1" applyBorder="1" applyAlignment="1" applyProtection="1">
      <alignment horizontal="right" vertical="center"/>
      <protection hidden="1"/>
    </xf>
    <xf numFmtId="4" fontId="17" fillId="5" borderId="43" xfId="0" applyNumberFormat="1" applyFont="1" applyFill="1" applyBorder="1" applyAlignment="1" applyProtection="1">
      <alignment horizontal="center" vertical="center"/>
      <protection hidden="1"/>
    </xf>
    <xf numFmtId="49" fontId="17" fillId="5" borderId="39" xfId="0" applyNumberFormat="1" applyFont="1" applyFill="1" applyBorder="1" applyAlignment="1" applyProtection="1">
      <alignment horizontal="right" vertical="center" wrapText="1"/>
      <protection hidden="1"/>
    </xf>
    <xf numFmtId="0" fontId="17" fillId="5" borderId="39" xfId="0" applyFont="1" applyFill="1" applyBorder="1" applyAlignment="1" applyProtection="1">
      <alignment horizontal="right" vertical="center" wrapText="1"/>
      <protection hidden="1"/>
    </xf>
    <xf numFmtId="0" fontId="19" fillId="5" borderId="39" xfId="0" applyFont="1" applyFill="1" applyBorder="1" applyAlignment="1" applyProtection="1">
      <alignment horizontal="center" vertical="center"/>
      <protection hidden="1"/>
    </xf>
    <xf numFmtId="0" fontId="17" fillId="5" borderId="39" xfId="0" applyFont="1" applyFill="1" applyBorder="1" applyAlignment="1" applyProtection="1">
      <alignment horizontal="right" vertical="center"/>
      <protection hidden="1"/>
    </xf>
    <xf numFmtId="9" fontId="17" fillId="5" borderId="39" xfId="4" applyFont="1" applyFill="1" applyBorder="1" applyAlignment="1" applyProtection="1">
      <alignment horizontal="center" vertical="center"/>
      <protection hidden="1"/>
    </xf>
    <xf numFmtId="10" fontId="17" fillId="5" borderId="39" xfId="4" applyNumberFormat="1" applyFont="1" applyFill="1" applyBorder="1" applyAlignment="1" applyProtection="1">
      <alignment horizontal="center" vertical="center"/>
      <protection hidden="1"/>
    </xf>
    <xf numFmtId="4" fontId="17" fillId="5" borderId="39" xfId="0" applyNumberFormat="1" applyFont="1" applyFill="1" applyBorder="1" applyAlignment="1" applyProtection="1">
      <alignment horizontal="center" vertical="center"/>
      <protection hidden="1"/>
    </xf>
    <xf numFmtId="4" fontId="17" fillId="5" borderId="40" xfId="0" applyNumberFormat="1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Protection="1">
      <protection hidden="1"/>
    </xf>
    <xf numFmtId="49" fontId="17" fillId="2" borderId="1" xfId="0" applyNumberFormat="1" applyFont="1" applyFill="1" applyBorder="1" applyAlignment="1" applyProtection="1">
      <alignment horizontal="left" vertical="center"/>
      <protection hidden="1"/>
    </xf>
    <xf numFmtId="49" fontId="17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17" fillId="2" borderId="1" xfId="0" applyFont="1" applyFill="1" applyBorder="1" applyAlignment="1" applyProtection="1">
      <alignment horizontal="right" vertical="center" wrapText="1"/>
      <protection hidden="1"/>
    </xf>
    <xf numFmtId="4" fontId="17" fillId="2" borderId="1" xfId="0" applyNumberFormat="1" applyFont="1" applyFill="1" applyBorder="1" applyAlignment="1" applyProtection="1">
      <alignment horizontal="center" vertical="center"/>
      <protection hidden="1"/>
    </xf>
    <xf numFmtId="49" fontId="19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1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Protection="1"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wrapText="1"/>
      <protection hidden="1"/>
    </xf>
    <xf numFmtId="0" fontId="19" fillId="2" borderId="1" xfId="0" applyFont="1" applyFill="1" applyBorder="1" applyAlignment="1" applyProtection="1">
      <alignment horizontal="center" wrapText="1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9" fillId="2" borderId="36" xfId="0" applyFont="1" applyFill="1" applyBorder="1" applyAlignment="1" applyProtection="1">
      <alignment horizontal="center"/>
      <protection hidden="1"/>
    </xf>
    <xf numFmtId="0" fontId="19" fillId="2" borderId="33" xfId="0" applyFont="1" applyFill="1" applyBorder="1" applyAlignment="1" applyProtection="1">
      <alignment horizontal="right"/>
      <protection hidden="1"/>
    </xf>
    <xf numFmtId="0" fontId="19" fillId="2" borderId="6" xfId="0" applyFont="1" applyFill="1" applyBorder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horizontal="right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right"/>
      <protection hidden="1"/>
    </xf>
    <xf numFmtId="0" fontId="2" fillId="2" borderId="32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right"/>
      <protection hidden="1"/>
    </xf>
    <xf numFmtId="4" fontId="19" fillId="6" borderId="25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2" borderId="33" xfId="0" applyFont="1" applyFill="1" applyBorder="1" applyAlignment="1" applyProtection="1">
      <alignment horizontal="left"/>
      <protection locked="0" hidden="1"/>
    </xf>
    <xf numFmtId="0" fontId="19" fillId="2" borderId="33" xfId="0" applyFont="1" applyFill="1" applyBorder="1" applyProtection="1">
      <protection locked="0" hidden="1"/>
    </xf>
    <xf numFmtId="0" fontId="19" fillId="2" borderId="37" xfId="0" applyFont="1" applyFill="1" applyBorder="1" applyProtection="1">
      <protection locked="0" hidden="1"/>
    </xf>
    <xf numFmtId="0" fontId="19" fillId="2" borderId="1" xfId="0" applyFont="1" applyFill="1" applyBorder="1" applyAlignment="1" applyProtection="1">
      <alignment horizontal="left" vertical="center"/>
      <protection locked="0" hidden="1"/>
    </xf>
    <xf numFmtId="0" fontId="19" fillId="2" borderId="1" xfId="0" applyFont="1" applyFill="1" applyBorder="1" applyProtection="1">
      <protection locked="0" hidden="1"/>
    </xf>
    <xf numFmtId="0" fontId="19" fillId="2" borderId="10" xfId="0" applyFont="1" applyFill="1" applyBorder="1" applyProtection="1">
      <protection locked="0" hidden="1"/>
    </xf>
    <xf numFmtId="0" fontId="2" fillId="2" borderId="1" xfId="0" applyFont="1" applyFill="1" applyBorder="1" applyAlignment="1" applyProtection="1">
      <alignment horizontal="center"/>
      <protection locked="0" hidden="1"/>
    </xf>
    <xf numFmtId="0" fontId="2" fillId="2" borderId="10" xfId="0" applyFont="1" applyFill="1" applyBorder="1" applyAlignment="1" applyProtection="1">
      <alignment horizontal="center"/>
      <protection locked="0" hidden="1"/>
    </xf>
    <xf numFmtId="0" fontId="2" fillId="2" borderId="13" xfId="0" applyFont="1" applyFill="1" applyBorder="1" applyAlignment="1" applyProtection="1">
      <alignment horizontal="left" vertical="center"/>
      <protection locked="0" hidden="1"/>
    </xf>
    <xf numFmtId="0" fontId="2" fillId="2" borderId="13" xfId="0" applyFont="1" applyFill="1" applyBorder="1" applyAlignment="1" applyProtection="1">
      <alignment horizontal="center"/>
      <protection locked="0" hidden="1"/>
    </xf>
    <xf numFmtId="0" fontId="2" fillId="2" borderId="14" xfId="0" applyFont="1" applyFill="1" applyBorder="1" applyAlignment="1" applyProtection="1">
      <alignment horizontal="center"/>
      <protection locked="0" hidden="1"/>
    </xf>
    <xf numFmtId="1" fontId="2" fillId="2" borderId="1" xfId="0" applyNumberFormat="1" applyFont="1" applyFill="1" applyBorder="1" applyAlignment="1" applyProtection="1">
      <alignment horizontal="left" vertical="center"/>
      <protection locked="0" hidden="1"/>
    </xf>
    <xf numFmtId="0" fontId="19" fillId="4" borderId="7" xfId="0" applyFont="1" applyFill="1" applyBorder="1" applyAlignment="1" applyProtection="1">
      <alignment horizontal="left" vertical="top"/>
      <protection hidden="1"/>
    </xf>
    <xf numFmtId="49" fontId="19" fillId="2" borderId="7" xfId="0" applyNumberFormat="1" applyFont="1" applyFill="1" applyBorder="1" applyAlignment="1" applyProtection="1">
      <alignment horizontal="left" vertical="top" wrapText="1"/>
      <protection hidden="1"/>
    </xf>
    <xf numFmtId="0" fontId="18" fillId="0" borderId="9" xfId="0" applyFont="1" applyBorder="1" applyProtection="1">
      <protection hidden="1"/>
    </xf>
    <xf numFmtId="0" fontId="18" fillId="0" borderId="8" xfId="0" applyFont="1" applyBorder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16" fillId="0" borderId="3" xfId="0" applyFont="1" applyBorder="1" applyProtection="1">
      <protection hidden="1"/>
    </xf>
    <xf numFmtId="0" fontId="16" fillId="0" borderId="4" xfId="0" applyFont="1" applyBorder="1" applyProtection="1">
      <protection hidden="1"/>
    </xf>
    <xf numFmtId="0" fontId="19" fillId="2" borderId="7" xfId="0" applyFont="1" applyFill="1" applyBorder="1" applyAlignment="1" applyProtection="1">
      <alignment horizontal="left" vertical="center" wrapText="1"/>
      <protection hidden="1"/>
    </xf>
    <xf numFmtId="0" fontId="17" fillId="2" borderId="11" xfId="0" applyFont="1" applyFill="1" applyBorder="1" applyAlignment="1" applyProtection="1">
      <alignment horizontal="right" vertical="center"/>
      <protection hidden="1"/>
    </xf>
    <xf numFmtId="0" fontId="17" fillId="2" borderId="5" xfId="0" applyFont="1" applyFill="1" applyBorder="1" applyAlignment="1" applyProtection="1">
      <alignment horizontal="right" vertical="center"/>
      <protection hidden="1"/>
    </xf>
    <xf numFmtId="0" fontId="18" fillId="0" borderId="12" xfId="0" applyFont="1" applyBorder="1" applyProtection="1">
      <protection hidden="1"/>
    </xf>
    <xf numFmtId="0" fontId="17" fillId="3" borderId="15" xfId="0" applyFont="1" applyFill="1" applyBorder="1" applyAlignment="1" applyProtection="1">
      <alignment horizontal="center" vertical="center" wrapText="1"/>
      <protection hidden="1"/>
    </xf>
    <xf numFmtId="0" fontId="18" fillId="0" borderId="19" xfId="0" applyFont="1" applyBorder="1" applyProtection="1">
      <protection hidden="1"/>
    </xf>
    <xf numFmtId="0" fontId="17" fillId="2" borderId="16" xfId="0" applyFont="1" applyFill="1" applyBorder="1" applyAlignment="1" applyProtection="1">
      <alignment horizontal="center" vertical="center"/>
      <protection hidden="1"/>
    </xf>
    <xf numFmtId="0" fontId="18" fillId="0" borderId="17" xfId="0" applyFont="1" applyBorder="1" applyProtection="1">
      <protection hidden="1"/>
    </xf>
    <xf numFmtId="0" fontId="18" fillId="0" borderId="18" xfId="0" applyFont="1" applyBorder="1" applyProtection="1">
      <protection hidden="1"/>
    </xf>
    <xf numFmtId="0" fontId="17" fillId="2" borderId="15" xfId="0" applyFont="1" applyFill="1" applyBorder="1" applyAlignment="1" applyProtection="1">
      <alignment horizontal="center" vertical="center" wrapText="1"/>
      <protection hidden="1"/>
    </xf>
    <xf numFmtId="4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left" vertical="center" wrapText="1"/>
      <protection hidden="1"/>
    </xf>
    <xf numFmtId="0" fontId="21" fillId="2" borderId="34" xfId="0" applyFont="1" applyFill="1" applyBorder="1" applyAlignment="1" applyProtection="1">
      <alignment horizontal="left" vertical="center" wrapText="1"/>
      <protection locked="0"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38" xfId="0" applyFont="1" applyFill="1" applyBorder="1" applyAlignment="1" applyProtection="1">
      <alignment horizontal="center" vertical="center" wrapText="1"/>
      <protection hidden="1"/>
    </xf>
    <xf numFmtId="0" fontId="3" fillId="2" borderId="34" xfId="0" applyFont="1" applyFill="1" applyBorder="1" applyAlignment="1" applyProtection="1">
      <alignment horizontal="center" vertical="center" wrapText="1"/>
      <protection hidden="1"/>
    </xf>
    <xf numFmtId="0" fontId="3" fillId="2" borderId="35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3" fillId="0" borderId="9" xfId="0" applyFont="1" applyBorder="1" applyProtection="1">
      <protection hidden="1"/>
    </xf>
    <xf numFmtId="4" fontId="17" fillId="3" borderId="16" xfId="0" applyNumberFormat="1" applyFont="1" applyFill="1" applyBorder="1" applyAlignment="1" applyProtection="1">
      <alignment horizontal="center" vertical="center" wrapText="1"/>
      <protection hidden="1"/>
    </xf>
    <xf numFmtId="49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173" fontId="19" fillId="7" borderId="25" xfId="0" applyNumberFormat="1" applyFont="1" applyFill="1" applyBorder="1" applyAlignment="1" applyProtection="1">
      <alignment horizontal="center" vertical="center" wrapText="1"/>
      <protection hidden="1"/>
    </xf>
    <xf numFmtId="4" fontId="19" fillId="6" borderId="24" xfId="0" applyNumberFormat="1" applyFont="1" applyFill="1" applyBorder="1" applyAlignment="1" applyProtection="1">
      <alignment horizontal="center" vertical="center"/>
      <protection locked="0" hidden="1"/>
    </xf>
  </cellXfs>
  <cellStyles count="8">
    <cellStyle name="Moeda" xfId="5" builtinId="4"/>
    <cellStyle name="Moeda 2" xfId="3" xr:uid="{00000000-0005-0000-0000-000002000000}"/>
    <cellStyle name="Normal" xfId="0" builtinId="0"/>
    <cellStyle name="Normal 2" xfId="1" xr:uid="{00000000-0005-0000-0000-000004000000}"/>
    <cellStyle name="Normal 3" xfId="6" xr:uid="{00000000-0005-0000-0000-000005000000}"/>
    <cellStyle name="Normal 4" xfId="7" xr:uid="{3AE28D7C-1191-4172-AAF2-18B9DDE6BACB}"/>
    <cellStyle name="Porcentagem" xfId="4" builtinId="5"/>
    <cellStyle name="Porcentagem 2" xfId="2" xr:uid="{00000000-0005-0000-0000-000007000000}"/>
  </cellStyles>
  <dxfs count="7"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48DD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212911</xdr:colOff>
      <xdr:row>0</xdr:row>
      <xdr:rowOff>212912</xdr:rowOff>
    </xdr:from>
    <xdr:ext cx="918883" cy="907676"/>
    <xdr:pic>
      <xdr:nvPicPr>
        <xdr:cNvPr id="3" name="image2.gif">
          <a:extLst>
            <a:ext uri="{FF2B5EF4-FFF2-40B4-BE49-F238E27FC236}">
              <a16:creationId xmlns:a16="http://schemas.microsoft.com/office/drawing/2014/main" id="{8DCB2BFE-32D0-412F-BCE0-EC1FC51126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911" y="212912"/>
          <a:ext cx="918883" cy="90767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>
    <tabColor rgb="FF548DD4"/>
  </sheetPr>
  <dimension ref="A1:AB53"/>
  <sheetViews>
    <sheetView showGridLines="0" tabSelected="1" zoomScale="85" zoomScaleNormal="85" workbookViewId="0">
      <selection activeCell="AC6" sqref="AC6"/>
    </sheetView>
  </sheetViews>
  <sheetFormatPr defaultColWidth="12.625" defaultRowHeight="15" customHeight="1" x14ac:dyDescent="0.2"/>
  <cols>
    <col min="1" max="1" width="5.125" style="4" customWidth="1"/>
    <col min="2" max="2" width="8.25" style="4" customWidth="1"/>
    <col min="3" max="3" width="13.75" style="4" customWidth="1"/>
    <col min="4" max="4" width="57" style="4" customWidth="1"/>
    <col min="5" max="5" width="6.125" style="4" customWidth="1"/>
    <col min="6" max="6" width="13.875" style="4" customWidth="1"/>
    <col min="7" max="7" width="9.125" style="4" customWidth="1"/>
    <col min="8" max="8" width="10.375" style="4" customWidth="1"/>
    <col min="9" max="9" width="15.5" style="4" customWidth="1"/>
    <col min="10" max="10" width="15.25" style="4" customWidth="1"/>
    <col min="11" max="11" width="7.125" style="4" customWidth="1"/>
    <col min="12" max="12" width="13" style="4" customWidth="1"/>
    <col min="13" max="13" width="7.125" style="4" hidden="1" customWidth="1"/>
    <col min="14" max="14" width="10.375" style="4" customWidth="1"/>
    <col min="15" max="15" width="13.25" style="4" customWidth="1"/>
    <col min="16" max="16" width="16.75" style="4" customWidth="1"/>
    <col min="17" max="17" width="9.625" style="4" hidden="1" customWidth="1"/>
    <col min="18" max="18" width="1.75" style="4" hidden="1" customWidth="1"/>
    <col min="19" max="19" width="4.875" style="4" hidden="1" customWidth="1"/>
    <col min="20" max="20" width="6.125" style="4" hidden="1" customWidth="1"/>
    <col min="21" max="21" width="4" style="4" hidden="1" customWidth="1"/>
    <col min="22" max="22" width="2.625" style="4" hidden="1" customWidth="1"/>
    <col min="23" max="23" width="28.25" style="3" hidden="1" customWidth="1"/>
    <col min="24" max="25" width="7.625" style="3" hidden="1" customWidth="1"/>
    <col min="26" max="26" width="0" style="3" hidden="1" customWidth="1"/>
    <col min="27" max="27" width="22.5" style="3" hidden="1" customWidth="1"/>
    <col min="28" max="28" width="12.625" style="3"/>
    <col min="29" max="16384" width="12.625" style="4"/>
  </cols>
  <sheetData>
    <row r="1" spans="1:27" ht="21" customHeight="1" x14ac:dyDescent="0.2">
      <c r="A1" s="137" t="s">
        <v>104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8"/>
      <c r="Q1" s="1"/>
      <c r="R1" s="1"/>
      <c r="S1" s="1"/>
      <c r="T1" s="1"/>
      <c r="U1" s="1"/>
      <c r="V1" s="1"/>
      <c r="W1" s="1"/>
      <c r="X1" s="1"/>
      <c r="Y1" s="2"/>
    </row>
    <row r="2" spans="1:27" ht="127.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40"/>
      <c r="Q2" s="1"/>
      <c r="R2" s="1"/>
      <c r="S2" s="1"/>
      <c r="T2" s="1"/>
      <c r="U2" s="1"/>
      <c r="V2" s="1"/>
      <c r="W2" s="5">
        <f>3532371.68-200000</f>
        <v>3332371.68</v>
      </c>
      <c r="X2" s="1"/>
      <c r="Y2" s="2"/>
    </row>
    <row r="3" spans="1:27" ht="19.899999999999999" customHeight="1" x14ac:dyDescent="0.2">
      <c r="A3" s="121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3"/>
      <c r="Q3" s="1"/>
      <c r="R3" s="1"/>
      <c r="S3" s="1"/>
      <c r="T3" s="1"/>
      <c r="U3" s="1"/>
      <c r="V3" s="1"/>
      <c r="W3" s="5">
        <f>2449240.55-200000</f>
        <v>2249240.5499999998</v>
      </c>
      <c r="X3" s="1"/>
      <c r="Y3" s="2"/>
    </row>
    <row r="4" spans="1:27" ht="21.75" customHeight="1" x14ac:dyDescent="0.25">
      <c r="A4" s="6"/>
      <c r="B4" s="7" t="s">
        <v>20</v>
      </c>
      <c r="C4" s="124" t="s">
        <v>81</v>
      </c>
      <c r="D4" s="119"/>
      <c r="E4" s="119"/>
      <c r="F4" s="119"/>
      <c r="G4" s="119"/>
      <c r="H4" s="119"/>
      <c r="I4" s="119"/>
      <c r="J4" s="119"/>
      <c r="K4" s="119"/>
      <c r="L4" s="120"/>
      <c r="M4" s="8"/>
      <c r="N4" s="8"/>
      <c r="O4" s="7" t="s">
        <v>3</v>
      </c>
      <c r="P4" s="9"/>
      <c r="Q4" s="1"/>
      <c r="R4" s="1"/>
      <c r="S4" s="1"/>
      <c r="T4" s="1"/>
      <c r="U4" s="1"/>
      <c r="V4" s="1"/>
      <c r="W4" s="5"/>
      <c r="X4" s="1"/>
      <c r="Y4" s="2"/>
    </row>
    <row r="5" spans="1:27" ht="55.15" customHeight="1" x14ac:dyDescent="0.25">
      <c r="A5" s="125" t="s">
        <v>21</v>
      </c>
      <c r="B5" s="120"/>
      <c r="C5" s="135" t="s">
        <v>82</v>
      </c>
      <c r="D5" s="135"/>
      <c r="E5" s="135"/>
      <c r="F5" s="135"/>
      <c r="G5" s="135"/>
      <c r="H5" s="135"/>
      <c r="I5" s="135"/>
      <c r="J5" s="135"/>
      <c r="K5" s="135"/>
      <c r="L5" s="10"/>
      <c r="M5" s="10"/>
      <c r="N5" s="10"/>
      <c r="O5" s="10" t="s">
        <v>25</v>
      </c>
      <c r="P5" s="11">
        <v>1.1284000000000001</v>
      </c>
      <c r="Q5" s="12"/>
      <c r="R5" s="12"/>
      <c r="S5" s="12"/>
      <c r="T5" s="12"/>
      <c r="U5" s="12"/>
      <c r="V5" s="12"/>
      <c r="W5" s="12"/>
      <c r="X5" s="12"/>
      <c r="Y5" s="2"/>
    </row>
    <row r="6" spans="1:27" ht="51" customHeight="1" x14ac:dyDescent="0.25">
      <c r="A6" s="126" t="s">
        <v>5</v>
      </c>
      <c r="B6" s="127"/>
      <c r="C6" s="136" t="s">
        <v>102</v>
      </c>
      <c r="D6" s="136"/>
      <c r="E6" s="136"/>
      <c r="F6" s="136"/>
      <c r="G6" s="136"/>
      <c r="H6" s="136"/>
      <c r="I6" s="136"/>
      <c r="J6" s="136"/>
      <c r="K6" s="136"/>
      <c r="L6" s="13"/>
      <c r="M6" s="13"/>
      <c r="N6" s="13"/>
      <c r="O6" s="13" t="s">
        <v>26</v>
      </c>
      <c r="P6" s="14">
        <v>0.69950000000000001</v>
      </c>
      <c r="Q6" s="12"/>
      <c r="R6" s="12"/>
      <c r="S6" s="12"/>
      <c r="T6" s="12"/>
      <c r="U6" s="15"/>
      <c r="V6" s="15"/>
      <c r="W6" s="15"/>
      <c r="X6" s="15"/>
      <c r="Y6" s="16"/>
      <c r="Z6" s="17"/>
    </row>
    <row r="7" spans="1:27" ht="18.75" customHeight="1" x14ac:dyDescent="0.25">
      <c r="A7" s="128" t="s">
        <v>6</v>
      </c>
      <c r="B7" s="128" t="s">
        <v>7</v>
      </c>
      <c r="C7" s="128" t="s">
        <v>8</v>
      </c>
      <c r="D7" s="144" t="s">
        <v>9</v>
      </c>
      <c r="E7" s="144" t="s">
        <v>10</v>
      </c>
      <c r="F7" s="134" t="s">
        <v>11</v>
      </c>
      <c r="G7" s="130" t="s">
        <v>12</v>
      </c>
      <c r="H7" s="131"/>
      <c r="I7" s="131"/>
      <c r="J7" s="132"/>
      <c r="K7" s="133" t="s">
        <v>13</v>
      </c>
      <c r="L7" s="134" t="s">
        <v>14</v>
      </c>
      <c r="M7" s="143" t="s">
        <v>15</v>
      </c>
      <c r="N7" s="131"/>
      <c r="O7" s="131"/>
      <c r="P7" s="132"/>
      <c r="Q7" s="12"/>
      <c r="R7" s="12"/>
      <c r="S7" s="12"/>
      <c r="T7" s="12"/>
      <c r="U7" s="141">
        <v>0.32504100000000002</v>
      </c>
      <c r="V7" s="142"/>
      <c r="W7" s="142"/>
      <c r="X7" s="15"/>
      <c r="Y7" s="16"/>
      <c r="Z7" s="17"/>
    </row>
    <row r="8" spans="1:27" ht="66" customHeight="1" x14ac:dyDescent="0.2">
      <c r="A8" s="129"/>
      <c r="B8" s="129"/>
      <c r="C8" s="129"/>
      <c r="D8" s="129"/>
      <c r="E8" s="129"/>
      <c r="F8" s="129"/>
      <c r="G8" s="18"/>
      <c r="H8" s="18" t="s">
        <v>16</v>
      </c>
      <c r="I8" s="18" t="s">
        <v>74</v>
      </c>
      <c r="J8" s="18" t="s">
        <v>17</v>
      </c>
      <c r="K8" s="129"/>
      <c r="L8" s="129"/>
      <c r="M8" s="18"/>
      <c r="N8" s="18" t="s">
        <v>16</v>
      </c>
      <c r="O8" s="18" t="s">
        <v>74</v>
      </c>
      <c r="P8" s="18" t="s">
        <v>17</v>
      </c>
      <c r="Q8" s="19"/>
      <c r="R8" s="19"/>
      <c r="S8" s="19"/>
      <c r="T8" s="19"/>
      <c r="U8" s="20"/>
      <c r="V8" s="20"/>
      <c r="W8" s="21"/>
      <c r="X8" s="22"/>
      <c r="Y8" s="23"/>
      <c r="Z8" s="17"/>
    </row>
    <row r="9" spans="1:27" ht="6" customHeight="1" x14ac:dyDescent="0.2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12"/>
      <c r="R9" s="12"/>
      <c r="S9" s="12"/>
      <c r="T9" s="12"/>
      <c r="U9" s="15"/>
      <c r="V9" s="15"/>
      <c r="W9" s="15"/>
      <c r="X9" s="15"/>
      <c r="Y9" s="16"/>
      <c r="Z9" s="17"/>
    </row>
    <row r="10" spans="1:27" ht="12.75" customHeight="1" x14ac:dyDescent="0.2">
      <c r="A10" s="27">
        <v>1</v>
      </c>
      <c r="B10" s="28"/>
      <c r="C10" s="28"/>
      <c r="D10" s="29" t="s">
        <v>27</v>
      </c>
      <c r="E10" s="29"/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31">
        <f>P36</f>
        <v>0</v>
      </c>
      <c r="Q10" s="12"/>
      <c r="R10" s="12"/>
      <c r="S10" s="12"/>
      <c r="T10" s="12"/>
      <c r="U10" s="15"/>
      <c r="V10" s="15"/>
      <c r="W10" s="15"/>
      <c r="X10" s="15"/>
      <c r="Y10" s="16"/>
      <c r="Z10" s="17"/>
    </row>
    <row r="11" spans="1:27" ht="17.45" customHeight="1" x14ac:dyDescent="0.2">
      <c r="A11" s="32" t="s">
        <v>28</v>
      </c>
      <c r="B11" s="33" t="s">
        <v>60</v>
      </c>
      <c r="C11" s="34" t="s">
        <v>1</v>
      </c>
      <c r="D11" s="35" t="s">
        <v>93</v>
      </c>
      <c r="E11" s="33" t="s">
        <v>69</v>
      </c>
      <c r="F11" s="104"/>
      <c r="G11" s="36"/>
      <c r="H11" s="36">
        <v>78.065757939999997</v>
      </c>
      <c r="I11" s="36">
        <v>10</v>
      </c>
      <c r="J11" s="37">
        <f>H11+I11</f>
        <v>88.065757939999997</v>
      </c>
      <c r="K11" s="38">
        <v>0.28620000000000001</v>
      </c>
      <c r="L11" s="39">
        <f>IFERROR(IF(K11="-",(ROUND(J11,2)),(ROUND(J11*(1+K11),2))),"-")</f>
        <v>113.27</v>
      </c>
      <c r="M11" s="39"/>
      <c r="N11" s="39">
        <f>IF(($I11=0),$P11,IF(H11=0,0,IF($K11&lt;&gt;"-",IFERROR(TRUNC(TRUNC((H11*(1+$K11)),2)*$F11,2),0),IFERROR(TRUNC(H11*$F11,2),0))))</f>
        <v>0</v>
      </c>
      <c r="O11" s="39">
        <f>IF(I11=0,0,P11-N11)</f>
        <v>0</v>
      </c>
      <c r="P11" s="40">
        <f>IFERROR(ROUND(ROUND(L11,2)*ROUND(F11,2),2),0)</f>
        <v>0</v>
      </c>
      <c r="Q11" s="41"/>
      <c r="R11" s="12"/>
      <c r="S11" s="12" t="str">
        <f t="shared" ref="S11:S37" si="0">A11</f>
        <v>1.1</v>
      </c>
      <c r="T11" s="12" t="b">
        <f>IF(I11=0,P11-N11)</f>
        <v>0</v>
      </c>
      <c r="U11" s="15"/>
      <c r="V11" s="15"/>
      <c r="W11" s="42">
        <f>IFERROR(IF(OR($C11="ANP",$C11="DAER",$C11="CONSULTORIA DNIT",$C11="PREGÃO ELETRÔNICO",$C11="DMLU",$C11="DMAE",$C11="CEEE",$C11="EPTC",$C11="ORSE",$C11="SEINFRA",$C11="CREA",$C11="CAU",$C11="CEHOP",$C11="SIURB",$C11="DER-PR",$C11="SUDECAP",$C11=#REF!,$C11=#REF!),VLOOKUP($B11,#REF!,7,FALSE),IF($C11="INDEXADO",VLOOKUP($B11,#REF!,17,FALSE),IF($C11="CCU",VLOOKUP($B11,#REF!,6,FALSE),IF($C11="MERCADO",VLOOKUP('Orçamento N_DESON.'!$B11,#REF!,8,FALSE),IF($C11="PLEO",VLOOKUP($B11,#REF!,4,FALSE),IF($C11="SICRO",VLOOKUP($B11,#REF!,6,FALSE),IF($C11="SINAPI",IFERROR((VLOOKUP($B11,#REF!,5,FALSE)),"-"),"-"))))))),0)</f>
        <v>0</v>
      </c>
      <c r="X11" s="42" t="e">
        <f>IF(OR($C11="ANP",$C11="DAER",$C11="CONSULTORIA DNIT",$C11="PREGÃO ELETRÔNICO",$C11="DMLU",$C11="DMAE",$C11="CEEE",$C11="EPTC",$C11="ORSE",$C11="SEINFRA",$C11="CREA",$C11="CAU",$C11="CEHOP",$C11="SIURB",$C11="DER-PR",$C11="SUDECAP",$C11=#REF!,$C11=#REF!),VLOOKUP($B11,#REF!,8,FALSE),IF($C11="INDEXADO",VLOOKUP($B11,#REF!,18,FALSE),IF($C11="CCU",VLOOKUP($B11,#REF!,7,FALSE),IF($C11="MERCADO",VLOOKUP('Orçamento N_DESON.'!$B11,#REF!,9,FALSE),IF($C11="PLEO",VLOOKUP($B11,#REF!,4,FALSE),IF($C11="SICRO",VLOOKUP($B11,#REF!,7,FALSE),IF($C11="SINAPI",IFERROR((VLOOKUP($B11,#REF!,6,FALSE)),(VLOOKUP($B11,#REF!,27,FALSE))),"-")))))))</f>
        <v>#REF!</v>
      </c>
      <c r="Y11" s="16"/>
      <c r="Z11" s="17">
        <f t="shared" ref="Z11:Z34" si="1">J11*(1+K11)</f>
        <v>113.270177862428</v>
      </c>
      <c r="AA11" s="3">
        <f t="shared" ref="AA11:AA34" si="2">Z11*F11</f>
        <v>0</v>
      </c>
    </row>
    <row r="12" spans="1:27" ht="16.149999999999999" customHeight="1" x14ac:dyDescent="0.2">
      <c r="A12" s="32" t="s">
        <v>29</v>
      </c>
      <c r="B12" s="33" t="s">
        <v>61</v>
      </c>
      <c r="C12" s="34" t="s">
        <v>1</v>
      </c>
      <c r="D12" s="35" t="s">
        <v>94</v>
      </c>
      <c r="E12" s="33" t="s">
        <v>69</v>
      </c>
      <c r="F12" s="104"/>
      <c r="G12" s="36"/>
      <c r="H12" s="36">
        <v>58.545943659999992</v>
      </c>
      <c r="I12" s="36">
        <v>0</v>
      </c>
      <c r="J12" s="37">
        <f t="shared" ref="J12:J34" si="3">H12+I12</f>
        <v>58.545943659999992</v>
      </c>
      <c r="K12" s="38">
        <v>0.28620000000000001</v>
      </c>
      <c r="L12" s="39">
        <f t="shared" ref="L12:L34" si="4">IFERROR(IF(K12="-",(ROUND(J12,2)),(ROUND(J12*(1+K12),2))),"-")</f>
        <v>75.3</v>
      </c>
      <c r="M12" s="39"/>
      <c r="N12" s="39">
        <f>IF(AND($G12=0,$I12=0),$P12,IF(H12=0,0,IF($K12&lt;&gt;"-",IFERROR(TRUNC(TRUNC((H12*(1+$K12)),2)*$F12,2),0),IFERROR(TRUNC(H12*$F12,2),0))))</f>
        <v>0</v>
      </c>
      <c r="O12" s="39">
        <f t="shared" ref="O12:O34" si="5">IF(I12=0,0,P12-N12-M12)</f>
        <v>0</v>
      </c>
      <c r="P12" s="40">
        <f t="shared" ref="P12:P34" si="6">IFERROR(ROUND(ROUND(L12,2)*ROUND(F12,2),2),0)</f>
        <v>0</v>
      </c>
      <c r="Q12" s="41"/>
      <c r="R12" s="12"/>
      <c r="S12" s="12" t="str">
        <f t="shared" si="0"/>
        <v>1.2</v>
      </c>
      <c r="T12" s="12">
        <f t="shared" ref="T12:T34" si="7">IF(I12=0,P12-N12)</f>
        <v>0</v>
      </c>
      <c r="U12" s="15"/>
      <c r="V12" s="15"/>
      <c r="W12" s="42">
        <f>IFERROR(IF(OR($C12="ANP",$C12="DAER",$C12="CONSULTORIA DNIT",$C12="PREGÃO ELETRÔNICO",$C12="DMLU",$C12="DMAE",$C12="CEEE",$C12="EPTC",$C12="ORSE",$C12="SEINFRA",$C12="CREA",$C12="CAU",$C12="CEHOP",$C12="SIURB",$C12="DER-PR",$C12="SUDECAP",$C12=#REF!,$C12=#REF!),VLOOKUP($B12,#REF!,7,FALSE),IF($C12="INDEXADO",VLOOKUP($B12,#REF!,17,FALSE),IF($C12="CCU",VLOOKUP($B12,#REF!,6,FALSE),IF($C12="MERCADO",VLOOKUP('Orçamento N_DESON.'!$B12,#REF!,8,FALSE),IF($C12="PLEO",VLOOKUP($B12,#REF!,4,FALSE),IF($C12="SICRO",VLOOKUP($B12,#REF!,6,FALSE),IF($C12="SINAPI",IFERROR((VLOOKUP($B12,#REF!,5,FALSE)),"-"),"-"))))))),0)</f>
        <v>0</v>
      </c>
      <c r="X12" s="42" t="e">
        <f>IF(OR($C12="ANP",$C12="DAER",$C12="CONSULTORIA DNIT",$C12="PREGÃO ELETRÔNICO",$C12="DMLU",$C12="DMAE",$C12="CEEE",$C12="EPTC",$C12="ORSE",$C12="SEINFRA",$C12="CREA",$C12="CAU",$C12="CEHOP",$C12="SIURB",$C12="DER-PR",$C12="SUDECAP",$C12=#REF!,$C12=#REF!),VLOOKUP($B12,#REF!,8,FALSE),IF($C12="INDEXADO",VLOOKUP($B12,#REF!,18,FALSE),IF($C12="CCU",VLOOKUP($B12,#REF!,7,FALSE),IF($C12="MERCADO",VLOOKUP('Orçamento N_DESON.'!$B12,#REF!,9,FALSE),IF($C12="PLEO",VLOOKUP($B12,#REF!,4,FALSE),IF($C12="SICRO",VLOOKUP($B12,#REF!,7,FALSE),IF($C12="SINAPI",IFERROR((VLOOKUP($B12,#REF!,6,FALSE)),(VLOOKUP($B12,#REF!,27,FALSE))),"-")))))))</f>
        <v>#REF!</v>
      </c>
      <c r="Y12" s="16"/>
      <c r="Z12" s="17">
        <f t="shared" si="1"/>
        <v>75.301792735491986</v>
      </c>
      <c r="AA12" s="3">
        <f t="shared" si="2"/>
        <v>0</v>
      </c>
    </row>
    <row r="13" spans="1:27" ht="15.6" customHeight="1" x14ac:dyDescent="0.2">
      <c r="A13" s="32" t="s">
        <v>30</v>
      </c>
      <c r="B13" s="33" t="s">
        <v>62</v>
      </c>
      <c r="C13" s="34" t="s">
        <v>1</v>
      </c>
      <c r="D13" s="35" t="s">
        <v>95</v>
      </c>
      <c r="E13" s="33" t="s">
        <v>69</v>
      </c>
      <c r="F13" s="104"/>
      <c r="G13" s="36"/>
      <c r="H13" s="36">
        <v>43.777840739999995</v>
      </c>
      <c r="I13" s="36">
        <v>0</v>
      </c>
      <c r="J13" s="37">
        <f t="shared" si="3"/>
        <v>43.777840739999995</v>
      </c>
      <c r="K13" s="38">
        <v>0.28620000000000001</v>
      </c>
      <c r="L13" s="39">
        <f t="shared" si="4"/>
        <v>56.31</v>
      </c>
      <c r="M13" s="39"/>
      <c r="N13" s="39">
        <f t="shared" ref="N13:N34" si="8">IF(AND($G13=0,$I13=0),$P13,IF(H13=0,0,IF($K13&lt;&gt;"-",IFERROR(TRUNC(TRUNC((H13*(1+$K13)),2)*$F13,2),0),IFERROR(TRUNC(H13*$F13,2),0))))</f>
        <v>0</v>
      </c>
      <c r="O13" s="39">
        <f t="shared" si="5"/>
        <v>0</v>
      </c>
      <c r="P13" s="40">
        <f t="shared" si="6"/>
        <v>0</v>
      </c>
      <c r="Q13" s="41"/>
      <c r="R13" s="12"/>
      <c r="S13" s="12" t="str">
        <f t="shared" si="0"/>
        <v>1.3</v>
      </c>
      <c r="T13" s="12">
        <f t="shared" si="7"/>
        <v>0</v>
      </c>
      <c r="U13" s="15"/>
      <c r="V13" s="15"/>
      <c r="W13" s="42">
        <f>IFERROR(IF(OR($C13="ANP",$C13="DAER",$C13="CONSULTORIA DNIT",$C13="PREGÃO ELETRÔNICO",$C13="DMLU",$C13="DMAE",$C13="CEEE",$C13="EPTC",$C13="ORSE",$C13="SEINFRA",$C13="CREA",$C13="CAU",$C13="CEHOP",$C13="SIURB",$C13="DER-PR",$C13="SUDECAP",$C13=#REF!,$C13=#REF!),VLOOKUP($B13,#REF!,7,FALSE),IF($C13="INDEXADO",VLOOKUP($B13,#REF!,17,FALSE),IF($C13="CCU",VLOOKUP($B13,#REF!,6,FALSE),IF($C13="MERCADO",VLOOKUP('Orçamento N_DESON.'!$B13,#REF!,8,FALSE),IF($C13="PLEO",VLOOKUP($B13,#REF!,4,FALSE),IF($C13="SICRO",VLOOKUP($B13,#REF!,6,FALSE),IF($C13="SINAPI",IFERROR((VLOOKUP($B13,#REF!,5,FALSE)),"-"),"-"))))))),0)</f>
        <v>0</v>
      </c>
      <c r="X13" s="42" t="e">
        <f>IF(OR($C13="ANP",$C13="DAER",$C13="CONSULTORIA DNIT",$C13="PREGÃO ELETRÔNICO",$C13="DMLU",$C13="DMAE",$C13="CEEE",$C13="EPTC",$C13="ORSE",$C13="SEINFRA",$C13="CREA",$C13="CAU",$C13="CEHOP",$C13="SIURB",$C13="DER-PR",$C13="SUDECAP",$C13=#REF!,$C13=#REF!),VLOOKUP($B13,#REF!,8,FALSE),IF($C13="INDEXADO",VLOOKUP($B13,#REF!,18,FALSE),IF($C13="CCU",VLOOKUP($B13,#REF!,7,FALSE),IF($C13="MERCADO",VLOOKUP('Orçamento N_DESON.'!$B13,#REF!,9,FALSE),IF($C13="PLEO",VLOOKUP($B13,#REF!,4,FALSE),IF($C13="SICRO",VLOOKUP($B13,#REF!,7,FALSE),IF($C13="SINAPI",IFERROR((VLOOKUP($B13,#REF!,6,FALSE)),(VLOOKUP($B13,#REF!,27,FALSE))),"-")))))))</f>
        <v>#REF!</v>
      </c>
      <c r="Y13" s="16"/>
      <c r="Z13" s="17">
        <f t="shared" si="1"/>
        <v>56.307058759787992</v>
      </c>
      <c r="AA13" s="3">
        <f t="shared" si="2"/>
        <v>0</v>
      </c>
    </row>
    <row r="14" spans="1:27" ht="28.15" customHeight="1" x14ac:dyDescent="0.2">
      <c r="A14" s="32" t="s">
        <v>31</v>
      </c>
      <c r="B14" s="33" t="s">
        <v>53</v>
      </c>
      <c r="C14" s="34" t="s">
        <v>1</v>
      </c>
      <c r="D14" s="35" t="s">
        <v>83</v>
      </c>
      <c r="E14" s="33" t="s">
        <v>70</v>
      </c>
      <c r="F14" s="104"/>
      <c r="G14" s="36"/>
      <c r="H14" s="36">
        <v>39.032878969999999</v>
      </c>
      <c r="I14" s="36">
        <v>39.316361749999999</v>
      </c>
      <c r="J14" s="37">
        <f t="shared" si="3"/>
        <v>78.349240719999997</v>
      </c>
      <c r="K14" s="38">
        <v>0.28620000000000001</v>
      </c>
      <c r="L14" s="39">
        <f t="shared" si="4"/>
        <v>100.77</v>
      </c>
      <c r="M14" s="39"/>
      <c r="N14" s="39">
        <f t="shared" si="8"/>
        <v>0</v>
      </c>
      <c r="O14" s="39">
        <f t="shared" si="5"/>
        <v>0</v>
      </c>
      <c r="P14" s="40">
        <f t="shared" si="6"/>
        <v>0</v>
      </c>
      <c r="Q14" s="41"/>
      <c r="R14" s="12"/>
      <c r="S14" s="12" t="str">
        <f t="shared" si="0"/>
        <v>1.4</v>
      </c>
      <c r="T14" s="12" t="b">
        <f t="shared" si="7"/>
        <v>0</v>
      </c>
      <c r="U14" s="15"/>
      <c r="V14" s="15"/>
      <c r="W14" s="42">
        <f>IFERROR(IF(OR($C14="ANP",$C14="DAER",$C14="CONSULTORIA DNIT",$C14="PREGÃO ELETRÔNICO",$C14="DMLU",$C14="DMAE",$C14="CEEE",$C14="EPTC",$C14="ORSE",$C14="SEINFRA",$C14="CREA",$C14="CAU",$C14="CEHOP",$C14="SIURB",$C14="DER-PR",$C14="SUDECAP",$C14=#REF!,$C14=#REF!),VLOOKUP($B14,#REF!,7,FALSE),IF($C14="INDEXADO",VLOOKUP($B14,#REF!,17,FALSE),IF($C14="CCU",VLOOKUP($B14,#REF!,6,FALSE),IF($C14="MERCADO",VLOOKUP('Orçamento N_DESON.'!$B14,#REF!,8,FALSE),IF($C14="PLEO",VLOOKUP($B14,#REF!,4,FALSE),IF($C14="SICRO",VLOOKUP($B14,#REF!,6,FALSE),IF($C14="SINAPI",IFERROR((VLOOKUP($B14,#REF!,5,FALSE)),"-"),"-"))))))),0)</f>
        <v>0</v>
      </c>
      <c r="X14" s="42" t="e">
        <f>IF(OR($C14="ANP",$C14="DAER",$C14="CONSULTORIA DNIT",$C14="PREGÃO ELETRÔNICO",$C14="DMLU",$C14="DMAE",$C14="CEEE",$C14="EPTC",$C14="ORSE",$C14="SEINFRA",$C14="CREA",$C14="CAU",$C14="CEHOP",$C14="SIURB",$C14="DER-PR",$C14="SUDECAP",$C14=#REF!,$C14=#REF!),VLOOKUP($B14,#REF!,8,FALSE),IF($C14="INDEXADO",VLOOKUP($B14,#REF!,18,FALSE),IF($C14="CCU",VLOOKUP($B14,#REF!,7,FALSE),IF($C14="MERCADO",VLOOKUP('Orçamento N_DESON.'!$B14,#REF!,9,FALSE),IF($C14="PLEO",VLOOKUP($B14,#REF!,4,FALSE),IF($C14="SICRO",VLOOKUP($B14,#REF!,7,FALSE),IF($C14="SINAPI",IFERROR((VLOOKUP($B14,#REF!,6,FALSE)),(VLOOKUP($B14,#REF!,27,FALSE))),"-")))))))</f>
        <v>#REF!</v>
      </c>
      <c r="Y14" s="16"/>
      <c r="Z14" s="17">
        <f t="shared" si="1"/>
        <v>100.772793414064</v>
      </c>
      <c r="AA14" s="3">
        <f t="shared" si="2"/>
        <v>0</v>
      </c>
    </row>
    <row r="15" spans="1:27" ht="23.45" customHeight="1" x14ac:dyDescent="0.2">
      <c r="A15" s="32" t="s">
        <v>32</v>
      </c>
      <c r="B15" s="33" t="s">
        <v>63</v>
      </c>
      <c r="C15" s="34" t="s">
        <v>1</v>
      </c>
      <c r="D15" s="35" t="s">
        <v>84</v>
      </c>
      <c r="E15" s="33" t="s">
        <v>69</v>
      </c>
      <c r="F15" s="104"/>
      <c r="G15" s="36"/>
      <c r="H15" s="36">
        <v>91.072217870000003</v>
      </c>
      <c r="I15" s="36">
        <v>151.26506148999999</v>
      </c>
      <c r="J15" s="37">
        <f t="shared" si="3"/>
        <v>242.33727936</v>
      </c>
      <c r="K15" s="38">
        <v>0.28620000000000001</v>
      </c>
      <c r="L15" s="39">
        <f t="shared" si="4"/>
        <v>311.69</v>
      </c>
      <c r="M15" s="39"/>
      <c r="N15" s="39">
        <f t="shared" si="8"/>
        <v>0</v>
      </c>
      <c r="O15" s="39">
        <f t="shared" si="5"/>
        <v>0</v>
      </c>
      <c r="P15" s="40">
        <f t="shared" si="6"/>
        <v>0</v>
      </c>
      <c r="Q15" s="41"/>
      <c r="R15" s="12"/>
      <c r="S15" s="12" t="str">
        <f t="shared" si="0"/>
        <v>1.5</v>
      </c>
      <c r="T15" s="12" t="b">
        <f t="shared" si="7"/>
        <v>0</v>
      </c>
      <c r="U15" s="15"/>
      <c r="V15" s="15"/>
      <c r="W15" s="42">
        <f>IFERROR(IF(OR($C15="ANP",$C15="DAER",$C15="CONSULTORIA DNIT",$C15="PREGÃO ELETRÔNICO",$C15="DMLU",$C15="DMAE",$C15="CEEE",$C15="EPTC",$C15="ORSE",$C15="SEINFRA",$C15="CREA",$C15="CAU",$C15="CEHOP",$C15="SIURB",$C15="DER-PR",$C15="SUDECAP",$C15=#REF!,$C15=#REF!),VLOOKUP($B15,#REF!,7,FALSE),IF($C15="INDEXADO",VLOOKUP($B15,#REF!,17,FALSE),IF($C15="CCU",VLOOKUP($B15,#REF!,6,FALSE),IF($C15="MERCADO",VLOOKUP('Orçamento N_DESON.'!$B15,#REF!,8,FALSE),IF($C15="PLEO",VLOOKUP($B15,#REF!,4,FALSE),IF($C15="SICRO",VLOOKUP($B15,#REF!,6,FALSE),IF($C15="SINAPI",IFERROR((VLOOKUP($B15,#REF!,5,FALSE)),"-"),"-"))))))),0)</f>
        <v>0</v>
      </c>
      <c r="X15" s="42" t="e">
        <f>IF(OR($C15="ANP",$C15="DAER",$C15="CONSULTORIA DNIT",$C15="PREGÃO ELETRÔNICO",$C15="DMLU",$C15="DMAE",$C15="CEEE",$C15="EPTC",$C15="ORSE",$C15="SEINFRA",$C15="CREA",$C15="CAU",$C15="CEHOP",$C15="SIURB",$C15="DER-PR",$C15="SUDECAP",$C15=#REF!,$C15=#REF!),VLOOKUP($B15,#REF!,8,FALSE),IF($C15="INDEXADO",VLOOKUP($B15,#REF!,18,FALSE),IF($C15="CCU",VLOOKUP($B15,#REF!,7,FALSE),IF($C15="MERCADO",VLOOKUP('Orçamento N_DESON.'!$B15,#REF!,9,FALSE),IF($C15="PLEO",VLOOKUP($B15,#REF!,4,FALSE),IF($C15="SICRO",VLOOKUP($B15,#REF!,7,FALSE),IF($C15="SINAPI",IFERROR((VLOOKUP($B15,#REF!,6,FALSE)),(VLOOKUP($B15,#REF!,27,FALSE))),"-")))))))</f>
        <v>#REF!</v>
      </c>
      <c r="Y15" s="16"/>
      <c r="Z15" s="17">
        <f t="shared" si="1"/>
        <v>311.69420871283199</v>
      </c>
      <c r="AA15" s="3">
        <f t="shared" si="2"/>
        <v>0</v>
      </c>
    </row>
    <row r="16" spans="1:27" ht="24" customHeight="1" x14ac:dyDescent="0.2">
      <c r="A16" s="32" t="s">
        <v>33</v>
      </c>
      <c r="B16" s="33" t="s">
        <v>64</v>
      </c>
      <c r="C16" s="34" t="s">
        <v>1</v>
      </c>
      <c r="D16" s="35" t="s">
        <v>85</v>
      </c>
      <c r="E16" s="33" t="s">
        <v>69</v>
      </c>
      <c r="F16" s="104"/>
      <c r="G16" s="36"/>
      <c r="H16" s="36">
        <v>91.072217870000003</v>
      </c>
      <c r="I16" s="36">
        <v>0</v>
      </c>
      <c r="J16" s="37">
        <f t="shared" si="3"/>
        <v>91.072217870000003</v>
      </c>
      <c r="K16" s="38">
        <v>0.28620000000000001</v>
      </c>
      <c r="L16" s="39">
        <f t="shared" si="4"/>
        <v>117.14</v>
      </c>
      <c r="M16" s="39"/>
      <c r="N16" s="39">
        <f t="shared" si="8"/>
        <v>0</v>
      </c>
      <c r="O16" s="39">
        <f t="shared" si="5"/>
        <v>0</v>
      </c>
      <c r="P16" s="40">
        <f t="shared" si="6"/>
        <v>0</v>
      </c>
      <c r="Q16" s="41"/>
      <c r="R16" s="12"/>
      <c r="S16" s="12" t="str">
        <f t="shared" si="0"/>
        <v>1.6</v>
      </c>
      <c r="T16" s="12">
        <f t="shared" si="7"/>
        <v>0</v>
      </c>
      <c r="U16" s="15"/>
      <c r="V16" s="15"/>
      <c r="W16" s="42">
        <f>IFERROR(IF(OR($C16="ANP",$C16="DAER",$C16="CONSULTORIA DNIT",$C16="PREGÃO ELETRÔNICO",$C16="DMLU",$C16="DMAE",$C16="CEEE",$C16="EPTC",$C16="ORSE",$C16="SEINFRA",$C16="CREA",$C16="CAU",$C16="CEHOP",$C16="SIURB",$C16="DER-PR",$C16="SUDECAP",$C16=#REF!,$C16=#REF!),VLOOKUP($B16,#REF!,7,FALSE),IF($C16="INDEXADO",VLOOKUP($B16,#REF!,17,FALSE),IF($C16="CCU",VLOOKUP($B16,#REF!,6,FALSE),IF($C16="MERCADO",VLOOKUP('Orçamento N_DESON.'!$B16,#REF!,8,FALSE),IF($C16="PLEO",VLOOKUP($B16,#REF!,4,FALSE),IF($C16="SICRO",VLOOKUP($B16,#REF!,6,FALSE),IF($C16="SINAPI",IFERROR((VLOOKUP($B16,#REF!,5,FALSE)),"-"),"-"))))))),0)</f>
        <v>0</v>
      </c>
      <c r="X16" s="42" t="e">
        <f>IF(OR($C16="ANP",$C16="DAER",$C16="CONSULTORIA DNIT",$C16="PREGÃO ELETRÔNICO",$C16="DMLU",$C16="DMAE",$C16="CEEE",$C16="EPTC",$C16="ORSE",$C16="SEINFRA",$C16="CREA",$C16="CAU",$C16="CEHOP",$C16="SIURB",$C16="DER-PR",$C16="SUDECAP",$C16=#REF!,$C16=#REF!),VLOOKUP($B16,#REF!,8,FALSE),IF($C16="INDEXADO",VLOOKUP($B16,#REF!,18,FALSE),IF($C16="CCU",VLOOKUP($B16,#REF!,7,FALSE),IF($C16="MERCADO",VLOOKUP('Orçamento N_DESON.'!$B16,#REF!,9,FALSE),IF($C16="PLEO",VLOOKUP($B16,#REF!,4,FALSE),IF($C16="SICRO",VLOOKUP($B16,#REF!,7,FALSE),IF($C16="SINAPI",IFERROR((VLOOKUP($B16,#REF!,6,FALSE)),(VLOOKUP($B16,#REF!,27,FALSE))),"-")))))))</f>
        <v>#REF!</v>
      </c>
      <c r="Y16" s="16"/>
      <c r="Z16" s="17">
        <f t="shared" si="1"/>
        <v>117.137086624394</v>
      </c>
      <c r="AA16" s="3">
        <f t="shared" si="2"/>
        <v>0</v>
      </c>
    </row>
    <row r="17" spans="1:27" ht="47.25" x14ac:dyDescent="0.2">
      <c r="A17" s="32" t="s">
        <v>34</v>
      </c>
      <c r="B17" s="33" t="s">
        <v>52</v>
      </c>
      <c r="C17" s="34" t="s">
        <v>1</v>
      </c>
      <c r="D17" s="35" t="s">
        <v>80</v>
      </c>
      <c r="E17" s="33" t="s">
        <v>69</v>
      </c>
      <c r="F17" s="104"/>
      <c r="G17" s="36"/>
      <c r="H17" s="36">
        <v>0</v>
      </c>
      <c r="I17" s="36">
        <v>116.28193652</v>
      </c>
      <c r="J17" s="37">
        <f t="shared" si="3"/>
        <v>116.28193652</v>
      </c>
      <c r="K17" s="38">
        <v>0.28620000000000001</v>
      </c>
      <c r="L17" s="39">
        <f t="shared" si="4"/>
        <v>149.56</v>
      </c>
      <c r="M17" s="39"/>
      <c r="N17" s="39">
        <f t="shared" si="8"/>
        <v>0</v>
      </c>
      <c r="O17" s="39">
        <f t="shared" si="5"/>
        <v>0</v>
      </c>
      <c r="P17" s="40">
        <f t="shared" si="6"/>
        <v>0</v>
      </c>
      <c r="Q17" s="41"/>
      <c r="R17" s="12"/>
      <c r="S17" s="12" t="str">
        <f t="shared" si="0"/>
        <v>1.7</v>
      </c>
      <c r="T17" s="12" t="b">
        <f t="shared" si="7"/>
        <v>0</v>
      </c>
      <c r="U17" s="15"/>
      <c r="V17" s="15"/>
      <c r="W17" s="42">
        <f>IFERROR(IF(OR($C17="ANP",$C17="DAER",$C17="CONSULTORIA DNIT",$C17="PREGÃO ELETRÔNICO",$C17="DMLU",$C17="DMAE",$C17="CEEE",$C17="EPTC",$C17="ORSE",$C17="SEINFRA",$C17="CREA",$C17="CAU",$C17="CEHOP",$C17="SIURB",$C17="DER-PR",$C17="SUDECAP",$C17=#REF!,$C17=#REF!),VLOOKUP($B17,#REF!,7,FALSE),IF($C17="INDEXADO",VLOOKUP($B17,#REF!,17,FALSE),IF($C17="CCU",VLOOKUP($B17,#REF!,6,FALSE),IF($C17="MERCADO",VLOOKUP('Orçamento N_DESON.'!$B17,#REF!,8,FALSE),IF($C17="PLEO",VLOOKUP($B17,#REF!,4,FALSE),IF($C17="SICRO",VLOOKUP($B17,#REF!,6,FALSE),IF($C17="SINAPI",IFERROR((VLOOKUP($B17,#REF!,5,FALSE)),"-"),"-"))))))),0)</f>
        <v>0</v>
      </c>
      <c r="X17" s="42" t="e">
        <f>IF(OR($C17="ANP",$C17="DAER",$C17="CONSULTORIA DNIT",$C17="PREGÃO ELETRÔNICO",$C17="DMLU",$C17="DMAE",$C17="CEEE",$C17="EPTC",$C17="ORSE",$C17="SEINFRA",$C17="CREA",$C17="CAU",$C17="CEHOP",$C17="SIURB",$C17="DER-PR",$C17="SUDECAP",$C17=#REF!,$C17=#REF!),VLOOKUP($B17,#REF!,8,FALSE),IF($C17="INDEXADO",VLOOKUP($B17,#REF!,18,FALSE),IF($C17="CCU",VLOOKUP($B17,#REF!,7,FALSE),IF($C17="MERCADO",VLOOKUP('Orçamento N_DESON.'!$B17,#REF!,9,FALSE),IF($C17="PLEO",VLOOKUP($B17,#REF!,4,FALSE),IF($C17="SICRO",VLOOKUP($B17,#REF!,7,FALSE),IF($C17="SINAPI",IFERROR((VLOOKUP($B17,#REF!,6,FALSE)),(VLOOKUP($B17,#REF!,27,FALSE))),"-")))))))</f>
        <v>#REF!</v>
      </c>
      <c r="Y17" s="16"/>
      <c r="Z17" s="17">
        <f t="shared" si="1"/>
        <v>149.56182675202399</v>
      </c>
      <c r="AA17" s="3">
        <f t="shared" si="2"/>
        <v>0</v>
      </c>
    </row>
    <row r="18" spans="1:27" ht="47.25" x14ac:dyDescent="0.2">
      <c r="A18" s="32" t="s">
        <v>35</v>
      </c>
      <c r="B18" s="33">
        <v>103291</v>
      </c>
      <c r="C18" s="34" t="s">
        <v>0</v>
      </c>
      <c r="D18" s="35" t="s">
        <v>75</v>
      </c>
      <c r="E18" s="33" t="s">
        <v>68</v>
      </c>
      <c r="F18" s="104"/>
      <c r="G18" s="36"/>
      <c r="H18" s="36">
        <v>3.7595216300000001</v>
      </c>
      <c r="I18" s="36">
        <v>31</v>
      </c>
      <c r="J18" s="37">
        <f t="shared" si="3"/>
        <v>34.759521630000002</v>
      </c>
      <c r="K18" s="38">
        <v>0.28620000000000001</v>
      </c>
      <c r="L18" s="39">
        <f t="shared" si="4"/>
        <v>44.71</v>
      </c>
      <c r="M18" s="39"/>
      <c r="N18" s="39">
        <f t="shared" si="8"/>
        <v>0</v>
      </c>
      <c r="O18" s="39">
        <f t="shared" si="5"/>
        <v>0</v>
      </c>
      <c r="P18" s="40">
        <f t="shared" si="6"/>
        <v>0</v>
      </c>
      <c r="Q18" s="41"/>
      <c r="R18" s="12"/>
      <c r="S18" s="12" t="str">
        <f t="shared" si="0"/>
        <v>1.8</v>
      </c>
      <c r="T18" s="12" t="b">
        <f t="shared" si="7"/>
        <v>0</v>
      </c>
      <c r="U18" s="15"/>
      <c r="V18" s="15"/>
      <c r="W18" s="42">
        <f>IFERROR(IF(OR($C18="ANP",$C18="DAER",$C18="CONSULTORIA DNIT",$C18="PREGÃO ELETRÔNICO",$C18="DMLU",$C18="DMAE",$C18="CEEE",$C18="EPTC",$C18="ORSE",$C18="SEINFRA",$C18="CREA",$C18="CAU",$C18="CEHOP",$C18="SIURB",$C18="DER-PR",$C18="SUDECAP",$C18=#REF!,$C18=#REF!),VLOOKUP($B18,#REF!,7,FALSE),IF($C18="INDEXADO",VLOOKUP($B18,#REF!,17,FALSE),IF($C18="CCU",VLOOKUP($B18,#REF!,6,FALSE),IF($C18="MERCADO",VLOOKUP('Orçamento N_DESON.'!$B18,#REF!,8,FALSE),IF($C18="PLEO",VLOOKUP($B18,#REF!,4,FALSE),IF($C18="SICRO",VLOOKUP($B18,#REF!,6,FALSE),IF($C18="SINAPI",IFERROR((VLOOKUP($B18,#REF!,5,FALSE)),"-"),"-"))))))),0)</f>
        <v>0</v>
      </c>
      <c r="X18" s="42" t="e">
        <f>IF(OR($C18="ANP",$C18="DAER",$C18="CONSULTORIA DNIT",$C18="PREGÃO ELETRÔNICO",$C18="DMLU",$C18="DMAE",$C18="CEEE",$C18="EPTC",$C18="ORSE",$C18="SEINFRA",$C18="CREA",$C18="CAU",$C18="CEHOP",$C18="SIURB",$C18="DER-PR",$C18="SUDECAP",$C18=#REF!,$C18=#REF!),VLOOKUP($B18,#REF!,8,FALSE),IF($C18="INDEXADO",VLOOKUP($B18,#REF!,18,FALSE),IF($C18="CCU",VLOOKUP($B18,#REF!,7,FALSE),IF($C18="MERCADO",VLOOKUP('Orçamento N_DESON.'!$B18,#REF!,9,FALSE),IF($C18="PLEO",VLOOKUP($B18,#REF!,4,FALSE),IF($C18="SICRO",VLOOKUP($B18,#REF!,7,FALSE),IF($C18="SINAPI",IFERROR((VLOOKUP($B18,#REF!,6,FALSE)),(VLOOKUP($B18,#REF!,27,FALSE))),"-")))))))</f>
        <v>#REF!</v>
      </c>
      <c r="Y18" s="16"/>
      <c r="Z18" s="17">
        <f t="shared" si="1"/>
        <v>44.707696720506</v>
      </c>
      <c r="AA18" s="3">
        <f t="shared" si="2"/>
        <v>0</v>
      </c>
    </row>
    <row r="19" spans="1:27" ht="47.25" x14ac:dyDescent="0.2">
      <c r="A19" s="32" t="s">
        <v>36</v>
      </c>
      <c r="B19" s="33">
        <v>103289</v>
      </c>
      <c r="C19" s="34" t="s">
        <v>0</v>
      </c>
      <c r="D19" s="35" t="s">
        <v>76</v>
      </c>
      <c r="E19" s="33" t="s">
        <v>68</v>
      </c>
      <c r="F19" s="104"/>
      <c r="G19" s="36"/>
      <c r="H19" s="36">
        <v>3.0508146799999998</v>
      </c>
      <c r="I19" s="36">
        <v>18.487127009999998</v>
      </c>
      <c r="J19" s="37">
        <f t="shared" si="3"/>
        <v>21.537941689999997</v>
      </c>
      <c r="K19" s="38">
        <v>0.28620000000000001</v>
      </c>
      <c r="L19" s="39">
        <f t="shared" si="4"/>
        <v>27.7</v>
      </c>
      <c r="M19" s="39"/>
      <c r="N19" s="39">
        <f t="shared" si="8"/>
        <v>0</v>
      </c>
      <c r="O19" s="39">
        <f t="shared" si="5"/>
        <v>0</v>
      </c>
      <c r="P19" s="40">
        <f t="shared" si="6"/>
        <v>0</v>
      </c>
      <c r="Q19" s="41"/>
      <c r="R19" s="12"/>
      <c r="S19" s="12" t="str">
        <f t="shared" si="0"/>
        <v>1.9</v>
      </c>
      <c r="T19" s="12" t="b">
        <f t="shared" si="7"/>
        <v>0</v>
      </c>
      <c r="U19" s="15"/>
      <c r="V19" s="15"/>
      <c r="W19" s="42">
        <f>IFERROR(IF(OR($C19="ANP",$C19="DAER",$C19="CONSULTORIA DNIT",$C19="PREGÃO ELETRÔNICO",$C19="DMLU",$C19="DMAE",$C19="CEEE",$C19="EPTC",$C19="ORSE",$C19="SEINFRA",$C19="CREA",$C19="CAU",$C19="CEHOP",$C19="SIURB",$C19="DER-PR",$C19="SUDECAP",$C19=#REF!,$C19=#REF!),VLOOKUP($B19,#REF!,7,FALSE),IF($C19="INDEXADO",VLOOKUP($B19,#REF!,17,FALSE),IF($C19="CCU",VLOOKUP($B19,#REF!,6,FALSE),IF($C19="MERCADO",VLOOKUP('Orçamento N_DESON.'!$B19,#REF!,8,FALSE),IF($C19="PLEO",VLOOKUP($B19,#REF!,4,FALSE),IF($C19="SICRO",VLOOKUP($B19,#REF!,6,FALSE),IF($C19="SINAPI",IFERROR((VLOOKUP($B19,#REF!,5,FALSE)),"-"),"-"))))))),0)</f>
        <v>0</v>
      </c>
      <c r="X19" s="42" t="e">
        <f>IF(OR($C19="ANP",$C19="DAER",$C19="CONSULTORIA DNIT",$C19="PREGÃO ELETRÔNICO",$C19="DMLU",$C19="DMAE",$C19="CEEE",$C19="EPTC",$C19="ORSE",$C19="SEINFRA",$C19="CREA",$C19="CAU",$C19="CEHOP",$C19="SIURB",$C19="DER-PR",$C19="SUDECAP",$C19=#REF!,$C19=#REF!),VLOOKUP($B19,#REF!,8,FALSE),IF($C19="INDEXADO",VLOOKUP($B19,#REF!,18,FALSE),IF($C19="CCU",VLOOKUP($B19,#REF!,7,FALSE),IF($C19="MERCADO",VLOOKUP('Orçamento N_DESON.'!$B19,#REF!,9,FALSE),IF($C19="PLEO",VLOOKUP($B19,#REF!,4,FALSE),IF($C19="SICRO",VLOOKUP($B19,#REF!,7,FALSE),IF($C19="SINAPI",IFERROR((VLOOKUP($B19,#REF!,6,FALSE)),(VLOOKUP($B19,#REF!,27,FALSE))),"-")))))))</f>
        <v>#REF!</v>
      </c>
      <c r="Y19" s="16"/>
      <c r="Z19" s="17">
        <f t="shared" si="1"/>
        <v>27.702100601677994</v>
      </c>
      <c r="AA19" s="3">
        <f t="shared" si="2"/>
        <v>0</v>
      </c>
    </row>
    <row r="20" spans="1:27" ht="47.25" x14ac:dyDescent="0.2">
      <c r="A20" s="32" t="s">
        <v>37</v>
      </c>
      <c r="B20" s="33">
        <v>103290</v>
      </c>
      <c r="C20" s="34" t="s">
        <v>0</v>
      </c>
      <c r="D20" s="35" t="s">
        <v>77</v>
      </c>
      <c r="E20" s="33" t="s">
        <v>68</v>
      </c>
      <c r="F20" s="104"/>
      <c r="G20" s="36"/>
      <c r="H20" s="36">
        <v>3.4017933600000001</v>
      </c>
      <c r="I20" s="36">
        <v>30.251662379999999</v>
      </c>
      <c r="J20" s="37">
        <f t="shared" si="3"/>
        <v>33.653455739999998</v>
      </c>
      <c r="K20" s="38">
        <v>0.28620000000000001</v>
      </c>
      <c r="L20" s="39">
        <f t="shared" si="4"/>
        <v>43.29</v>
      </c>
      <c r="M20" s="39"/>
      <c r="N20" s="39">
        <f t="shared" si="8"/>
        <v>0</v>
      </c>
      <c r="O20" s="39">
        <f t="shared" si="5"/>
        <v>0</v>
      </c>
      <c r="P20" s="40">
        <f t="shared" si="6"/>
        <v>0</v>
      </c>
      <c r="Q20" s="41"/>
      <c r="R20" s="12"/>
      <c r="S20" s="12" t="str">
        <f t="shared" si="0"/>
        <v>1.10</v>
      </c>
      <c r="T20" s="12" t="b">
        <f t="shared" si="7"/>
        <v>0</v>
      </c>
      <c r="U20" s="15"/>
      <c r="V20" s="15"/>
      <c r="W20" s="42">
        <f>IFERROR(IF(OR($C20="ANP",$C20="DAER",$C20="CONSULTORIA DNIT",$C20="PREGÃO ELETRÔNICO",$C20="DMLU",$C20="DMAE",$C20="CEEE",$C20="EPTC",$C20="ORSE",$C20="SEINFRA",$C20="CREA",$C20="CAU",$C20="CEHOP",$C20="SIURB",$C20="DER-PR",$C20="SUDECAP",$C20=#REF!,$C20=#REF!),VLOOKUP($B20,#REF!,7,FALSE),IF($C20="INDEXADO",VLOOKUP($B20,#REF!,17,FALSE),IF($C20="CCU",VLOOKUP($B20,#REF!,6,FALSE),IF($C20="MERCADO",VLOOKUP('Orçamento N_DESON.'!$B20,#REF!,8,FALSE),IF($C20="PLEO",VLOOKUP($B20,#REF!,4,FALSE),IF($C20="SICRO",VLOOKUP($B20,#REF!,6,FALSE),IF($C20="SINAPI",IFERROR((VLOOKUP($B20,#REF!,5,FALSE)),"-"),"-"))))))),0)</f>
        <v>0</v>
      </c>
      <c r="X20" s="42" t="e">
        <f>IF(OR($C20="ANP",$C20="DAER",$C20="CONSULTORIA DNIT",$C20="PREGÃO ELETRÔNICO",$C20="DMLU",$C20="DMAE",$C20="CEEE",$C20="EPTC",$C20="ORSE",$C20="SEINFRA",$C20="CREA",$C20="CAU",$C20="CEHOP",$C20="SIURB",$C20="DER-PR",$C20="SUDECAP",$C20=#REF!,$C20=#REF!),VLOOKUP($B20,#REF!,8,FALSE),IF($C20="INDEXADO",VLOOKUP($B20,#REF!,18,FALSE),IF($C20="CCU",VLOOKUP($B20,#REF!,7,FALSE),IF($C20="MERCADO",VLOOKUP('Orçamento N_DESON.'!$B20,#REF!,9,FALSE),IF($C20="PLEO",VLOOKUP($B20,#REF!,4,FALSE),IF($C20="SICRO",VLOOKUP($B20,#REF!,7,FALSE),IF($C20="SINAPI",IFERROR((VLOOKUP($B20,#REF!,6,FALSE)),(VLOOKUP($B20,#REF!,27,FALSE))),"-")))))))</f>
        <v>#REF!</v>
      </c>
      <c r="Y20" s="16"/>
      <c r="Z20" s="17">
        <f t="shared" si="1"/>
        <v>43.285074772788001</v>
      </c>
      <c r="AA20" s="3">
        <f t="shared" si="2"/>
        <v>0</v>
      </c>
    </row>
    <row r="21" spans="1:27" ht="47.25" x14ac:dyDescent="0.2">
      <c r="A21" s="32" t="s">
        <v>38</v>
      </c>
      <c r="B21" s="33">
        <v>103292</v>
      </c>
      <c r="C21" s="34" t="s">
        <v>0</v>
      </c>
      <c r="D21" s="35" t="s">
        <v>78</v>
      </c>
      <c r="E21" s="33" t="s">
        <v>68</v>
      </c>
      <c r="F21" s="104"/>
      <c r="G21" s="36"/>
      <c r="H21" s="36">
        <v>4.1105003099999999</v>
      </c>
      <c r="I21" s="36">
        <v>45</v>
      </c>
      <c r="J21" s="37">
        <f t="shared" si="3"/>
        <v>49.110500309999999</v>
      </c>
      <c r="K21" s="38">
        <v>0.28620000000000001</v>
      </c>
      <c r="L21" s="39">
        <f t="shared" si="4"/>
        <v>63.17</v>
      </c>
      <c r="M21" s="39"/>
      <c r="N21" s="39">
        <f t="shared" si="8"/>
        <v>0</v>
      </c>
      <c r="O21" s="39">
        <f t="shared" si="5"/>
        <v>0</v>
      </c>
      <c r="P21" s="40">
        <f t="shared" si="6"/>
        <v>0</v>
      </c>
      <c r="Q21" s="41"/>
      <c r="R21" s="12"/>
      <c r="S21" s="12" t="str">
        <f t="shared" si="0"/>
        <v>1.11</v>
      </c>
      <c r="T21" s="12" t="b">
        <f t="shared" si="7"/>
        <v>0</v>
      </c>
      <c r="U21" s="15"/>
      <c r="V21" s="15"/>
      <c r="W21" s="42">
        <f>IFERROR(IF(OR($C21="ANP",$C21="DAER",$C21="CONSULTORIA DNIT",$C21="PREGÃO ELETRÔNICO",$C21="DMLU",$C21="DMAE",$C21="CEEE",$C21="EPTC",$C21="ORSE",$C21="SEINFRA",$C21="CREA",$C21="CAU",$C21="CEHOP",$C21="SIURB",$C21="DER-PR",$C21="SUDECAP",$C21=#REF!,$C21=#REF!),VLOOKUP($B21,#REF!,7,FALSE),IF($C21="INDEXADO",VLOOKUP($B21,#REF!,17,FALSE),IF($C21="CCU",VLOOKUP($B21,#REF!,6,FALSE),IF($C21="MERCADO",VLOOKUP('Orçamento N_DESON.'!$B21,#REF!,8,FALSE),IF($C21="PLEO",VLOOKUP($B21,#REF!,4,FALSE),IF($C21="SICRO",VLOOKUP($B21,#REF!,6,FALSE),IF($C21="SINAPI",IFERROR((VLOOKUP($B21,#REF!,5,FALSE)),"-"),"-"))))))),0)</f>
        <v>0</v>
      </c>
      <c r="X21" s="42" t="e">
        <f>IF(OR($C21="ANP",$C21="DAER",$C21="CONSULTORIA DNIT",$C21="PREGÃO ELETRÔNICO",$C21="DMLU",$C21="DMAE",$C21="CEEE",$C21="EPTC",$C21="ORSE",$C21="SEINFRA",$C21="CREA",$C21="CAU",$C21="CEHOP",$C21="SIURB",$C21="DER-PR",$C21="SUDECAP",$C21=#REF!,$C21=#REF!),VLOOKUP($B21,#REF!,8,FALSE),IF($C21="INDEXADO",VLOOKUP($B21,#REF!,18,FALSE),IF($C21="CCU",VLOOKUP($B21,#REF!,7,FALSE),IF($C21="MERCADO",VLOOKUP('Orçamento N_DESON.'!$B21,#REF!,9,FALSE),IF($C21="PLEO",VLOOKUP($B21,#REF!,4,FALSE),IF($C21="SICRO",VLOOKUP($B21,#REF!,7,FALSE),IF($C21="SINAPI",IFERROR((VLOOKUP($B21,#REF!,6,FALSE)),(VLOOKUP($B21,#REF!,27,FALSE))),"-")))))))</f>
        <v>#REF!</v>
      </c>
      <c r="Y21" s="16"/>
      <c r="Z21" s="17">
        <f t="shared" si="1"/>
        <v>63.165925498721997</v>
      </c>
      <c r="AA21" s="3">
        <f t="shared" si="2"/>
        <v>0</v>
      </c>
    </row>
    <row r="22" spans="1:27" ht="78.75" x14ac:dyDescent="0.2">
      <c r="A22" s="32" t="s">
        <v>39</v>
      </c>
      <c r="B22" s="43" t="s">
        <v>57</v>
      </c>
      <c r="C22" s="44" t="s">
        <v>1</v>
      </c>
      <c r="D22" s="35" t="s">
        <v>91</v>
      </c>
      <c r="E22" s="33" t="s">
        <v>68</v>
      </c>
      <c r="F22" s="104"/>
      <c r="G22" s="36"/>
      <c r="H22" s="36">
        <v>2.7200847700000002</v>
      </c>
      <c r="I22" s="36">
        <v>56.386074860000001</v>
      </c>
      <c r="J22" s="37">
        <f t="shared" si="3"/>
        <v>59.106159630000001</v>
      </c>
      <c r="K22" s="38">
        <v>0.28620000000000001</v>
      </c>
      <c r="L22" s="39">
        <f t="shared" si="4"/>
        <v>76.02</v>
      </c>
      <c r="M22" s="39"/>
      <c r="N22" s="39">
        <f t="shared" si="8"/>
        <v>0</v>
      </c>
      <c r="O22" s="39">
        <f t="shared" si="5"/>
        <v>0</v>
      </c>
      <c r="P22" s="40">
        <f t="shared" si="6"/>
        <v>0</v>
      </c>
      <c r="Q22" s="41"/>
      <c r="R22" s="12"/>
      <c r="S22" s="12" t="str">
        <f t="shared" si="0"/>
        <v>1.12</v>
      </c>
      <c r="T22" s="12" t="b">
        <f t="shared" si="7"/>
        <v>0</v>
      </c>
      <c r="U22" s="15"/>
      <c r="V22" s="15"/>
      <c r="W22" s="42">
        <f>IFERROR(IF(OR($C22="ANP",$C22="DAER",$C22="CONSULTORIA DNIT",$C22="PREGÃO ELETRÔNICO",$C22="DMLU",$C22="DMAE",$C22="CEEE",$C22="EPTC",$C22="ORSE",$C22="SEINFRA",$C22="CREA",$C22="CAU",$C22="CEHOP",$C22="SIURB",$C22="DER-PR",$C22="SUDECAP",$C22=#REF!,$C22=#REF!),VLOOKUP($B22,#REF!,7,FALSE),IF($C22="INDEXADO",VLOOKUP($B22,#REF!,17,FALSE),IF($C22="CCU",VLOOKUP($B22,#REF!,6,FALSE),IF($C22="MERCADO",VLOOKUP('Orçamento N_DESON.'!$B22,#REF!,8,FALSE),IF($C22="PLEO",VLOOKUP($B22,#REF!,4,FALSE),IF($C22="SICRO",VLOOKUP($B22,#REF!,6,FALSE),IF($C22="SINAPI",IFERROR((VLOOKUP($B22,#REF!,5,FALSE)),"-"),"-"))))))),0)</f>
        <v>0</v>
      </c>
      <c r="X22" s="42" t="e">
        <f>IF(OR($C22="ANP",$C22="DAER",$C22="CONSULTORIA DNIT",$C22="PREGÃO ELETRÔNICO",$C22="DMLU",$C22="DMAE",$C22="CEEE",$C22="EPTC",$C22="ORSE",$C22="SEINFRA",$C22="CREA",$C22="CAU",$C22="CEHOP",$C22="SIURB",$C22="DER-PR",$C22="SUDECAP",$C22=#REF!,$C22=#REF!),VLOOKUP($B22,#REF!,8,FALSE),IF($C22="INDEXADO",VLOOKUP($B22,#REF!,18,FALSE),IF($C22="CCU",VLOOKUP($B22,#REF!,7,FALSE),IF($C22="MERCADO",VLOOKUP('Orçamento N_DESON.'!$B22,#REF!,9,FALSE),IF($C22="PLEO",VLOOKUP($B22,#REF!,4,FALSE),IF($C22="SICRO",VLOOKUP($B22,#REF!,7,FALSE),IF($C22="SINAPI",IFERROR((VLOOKUP($B22,#REF!,6,FALSE)),(VLOOKUP($B22,#REF!,27,FALSE))),"-")))))))</f>
        <v>#REF!</v>
      </c>
      <c r="Y22" s="16"/>
      <c r="Z22" s="17">
        <f t="shared" si="1"/>
        <v>76.022342516106008</v>
      </c>
      <c r="AA22" s="3">
        <f t="shared" si="2"/>
        <v>0</v>
      </c>
    </row>
    <row r="23" spans="1:27" ht="78.75" x14ac:dyDescent="0.2">
      <c r="A23" s="32" t="s">
        <v>40</v>
      </c>
      <c r="B23" s="43" t="s">
        <v>58</v>
      </c>
      <c r="C23" s="44" t="s">
        <v>1</v>
      </c>
      <c r="D23" s="35" t="s">
        <v>86</v>
      </c>
      <c r="E23" s="33" t="s">
        <v>68</v>
      </c>
      <c r="F23" s="104"/>
      <c r="G23" s="36"/>
      <c r="H23" s="36">
        <v>2.7200847700000002</v>
      </c>
      <c r="I23" s="36">
        <v>61.920738659999998</v>
      </c>
      <c r="J23" s="37">
        <f t="shared" si="3"/>
        <v>64.640823429999998</v>
      </c>
      <c r="K23" s="38">
        <v>0.28620000000000001</v>
      </c>
      <c r="L23" s="39">
        <f t="shared" si="4"/>
        <v>83.14</v>
      </c>
      <c r="M23" s="39"/>
      <c r="N23" s="39">
        <f t="shared" si="8"/>
        <v>0</v>
      </c>
      <c r="O23" s="39">
        <f t="shared" si="5"/>
        <v>0</v>
      </c>
      <c r="P23" s="40">
        <f t="shared" si="6"/>
        <v>0</v>
      </c>
      <c r="Q23" s="41"/>
      <c r="R23" s="12"/>
      <c r="S23" s="12" t="str">
        <f t="shared" si="0"/>
        <v>1.13</v>
      </c>
      <c r="T23" s="12" t="b">
        <f t="shared" si="7"/>
        <v>0</v>
      </c>
      <c r="U23" s="15"/>
      <c r="V23" s="15"/>
      <c r="W23" s="42">
        <f>IFERROR(IF(OR($C23="ANP",$C23="DAER",$C23="CONSULTORIA DNIT",$C23="PREGÃO ELETRÔNICO",$C23="DMLU",$C23="DMAE",$C23="CEEE",$C23="EPTC",$C23="ORSE",$C23="SEINFRA",$C23="CREA",$C23="CAU",$C23="CEHOP",$C23="SIURB",$C23="DER-PR",$C23="SUDECAP",$C23=#REF!,$C23=#REF!),VLOOKUP($B23,#REF!,7,FALSE),IF($C23="INDEXADO",VLOOKUP($B23,#REF!,17,FALSE),IF($C23="CCU",VLOOKUP($B23,#REF!,6,FALSE),IF($C23="MERCADO",VLOOKUP('Orçamento N_DESON.'!$B23,#REF!,8,FALSE),IF($C23="PLEO",VLOOKUP($B23,#REF!,4,FALSE),IF($C23="SICRO",VLOOKUP($B23,#REF!,6,FALSE),IF($C23="SINAPI",IFERROR((VLOOKUP($B23,#REF!,5,FALSE)),"-"),"-"))))))),0)</f>
        <v>0</v>
      </c>
      <c r="X23" s="42" t="e">
        <f>IF(OR($C23="ANP",$C23="DAER",$C23="CONSULTORIA DNIT",$C23="PREGÃO ELETRÔNICO",$C23="DMLU",$C23="DMAE",$C23="CEEE",$C23="EPTC",$C23="ORSE",$C23="SEINFRA",$C23="CREA",$C23="CAU",$C23="CEHOP",$C23="SIURB",$C23="DER-PR",$C23="SUDECAP",$C23=#REF!,$C23=#REF!),VLOOKUP($B23,#REF!,8,FALSE),IF($C23="INDEXADO",VLOOKUP($B23,#REF!,18,FALSE),IF($C23="CCU",VLOOKUP($B23,#REF!,7,FALSE),IF($C23="MERCADO",VLOOKUP('Orçamento N_DESON.'!$B23,#REF!,9,FALSE),IF($C23="PLEO",VLOOKUP($B23,#REF!,4,FALSE),IF($C23="SICRO",VLOOKUP($B23,#REF!,7,FALSE),IF($C23="SINAPI",IFERROR((VLOOKUP($B23,#REF!,6,FALSE)),(VLOOKUP($B23,#REF!,27,FALSE))),"-")))))))</f>
        <v>#REF!</v>
      </c>
      <c r="Y23" s="16"/>
      <c r="Z23" s="17">
        <f t="shared" si="1"/>
        <v>83.141027095666004</v>
      </c>
      <c r="AA23" s="3">
        <f t="shared" si="2"/>
        <v>0</v>
      </c>
    </row>
    <row r="24" spans="1:27" ht="31.5" x14ac:dyDescent="0.2">
      <c r="A24" s="32" t="s">
        <v>41</v>
      </c>
      <c r="B24" s="43" t="s">
        <v>59</v>
      </c>
      <c r="C24" s="44" t="s">
        <v>1</v>
      </c>
      <c r="D24" s="35" t="s">
        <v>92</v>
      </c>
      <c r="E24" s="33" t="s">
        <v>69</v>
      </c>
      <c r="F24" s="104"/>
      <c r="G24" s="36"/>
      <c r="H24" s="36">
        <v>1.3566675899999998</v>
      </c>
      <c r="I24" s="36">
        <v>26.201908379999999</v>
      </c>
      <c r="J24" s="37">
        <f t="shared" si="3"/>
        <v>27.55857597</v>
      </c>
      <c r="K24" s="38">
        <v>0.28620000000000001</v>
      </c>
      <c r="L24" s="39">
        <f t="shared" si="4"/>
        <v>35.450000000000003</v>
      </c>
      <c r="M24" s="39"/>
      <c r="N24" s="39">
        <f t="shared" si="8"/>
        <v>0</v>
      </c>
      <c r="O24" s="39">
        <f t="shared" si="5"/>
        <v>0</v>
      </c>
      <c r="P24" s="40">
        <f t="shared" si="6"/>
        <v>0</v>
      </c>
      <c r="Q24" s="41"/>
      <c r="R24" s="12"/>
      <c r="S24" s="12" t="str">
        <f t="shared" si="0"/>
        <v>1.14</v>
      </c>
      <c r="T24" s="12" t="b">
        <f t="shared" si="7"/>
        <v>0</v>
      </c>
      <c r="U24" s="15"/>
      <c r="V24" s="15"/>
      <c r="W24" s="42">
        <f>IFERROR(IF(OR($C24="ANP",$C24="DAER",$C24="CONSULTORIA DNIT",$C24="PREGÃO ELETRÔNICO",$C24="DMLU",$C24="DMAE",$C24="CEEE",$C24="EPTC",$C24="ORSE",$C24="SEINFRA",$C24="CREA",$C24="CAU",$C24="CEHOP",$C24="SIURB",$C24="DER-PR",$C24="SUDECAP",$C24=#REF!,$C24=#REF!),VLOOKUP($B24,#REF!,7,FALSE),IF($C24="INDEXADO",VLOOKUP($B24,#REF!,17,FALSE),IF($C24="CCU",VLOOKUP($B24,#REF!,6,FALSE),IF($C24="MERCADO",VLOOKUP('Orçamento N_DESON.'!$B24,#REF!,8,FALSE),IF($C24="PLEO",VLOOKUP($B24,#REF!,4,FALSE),IF($C24="SICRO",VLOOKUP($B24,#REF!,6,FALSE),IF($C24="SINAPI",IFERROR((VLOOKUP($B24,#REF!,5,FALSE)),"-"),"-"))))))),0)</f>
        <v>0</v>
      </c>
      <c r="X24" s="42" t="e">
        <f>IF(OR($C24="ANP",$C24="DAER",$C24="CONSULTORIA DNIT",$C24="PREGÃO ELETRÔNICO",$C24="DMLU",$C24="DMAE",$C24="CEEE",$C24="EPTC",$C24="ORSE",$C24="SEINFRA",$C24="CREA",$C24="CAU",$C24="CEHOP",$C24="SIURB",$C24="DER-PR",$C24="SUDECAP",$C24=#REF!,$C24=#REF!),VLOOKUP($B24,#REF!,8,FALSE),IF($C24="INDEXADO",VLOOKUP($B24,#REF!,18,FALSE),IF($C24="CCU",VLOOKUP($B24,#REF!,7,FALSE),IF($C24="MERCADO",VLOOKUP('Orçamento N_DESON.'!$B24,#REF!,9,FALSE),IF($C24="PLEO",VLOOKUP($B24,#REF!,4,FALSE),IF($C24="SICRO",VLOOKUP($B24,#REF!,7,FALSE),IF($C24="SINAPI",IFERROR((VLOOKUP($B24,#REF!,6,FALSE)),(VLOOKUP($B24,#REF!,27,FALSE))),"-")))))))</f>
        <v>#REF!</v>
      </c>
      <c r="Y24" s="16"/>
      <c r="Z24" s="17">
        <f t="shared" si="1"/>
        <v>35.445840412613997</v>
      </c>
      <c r="AA24" s="3">
        <f t="shared" si="2"/>
        <v>0</v>
      </c>
    </row>
    <row r="25" spans="1:27" ht="31.5" x14ac:dyDescent="0.2">
      <c r="A25" s="32" t="s">
        <v>42</v>
      </c>
      <c r="B25" s="43" t="s">
        <v>54</v>
      </c>
      <c r="C25" s="44" t="s">
        <v>1</v>
      </c>
      <c r="D25" s="35" t="s">
        <v>96</v>
      </c>
      <c r="E25" s="33" t="s">
        <v>71</v>
      </c>
      <c r="F25" s="104"/>
      <c r="G25" s="36"/>
      <c r="H25" s="36">
        <v>0</v>
      </c>
      <c r="I25" s="36">
        <v>25.83</v>
      </c>
      <c r="J25" s="37">
        <f t="shared" si="3"/>
        <v>25.83</v>
      </c>
      <c r="K25" s="38">
        <v>0.28620000000000001</v>
      </c>
      <c r="L25" s="39">
        <f t="shared" si="4"/>
        <v>33.22</v>
      </c>
      <c r="M25" s="39"/>
      <c r="N25" s="39">
        <f t="shared" si="8"/>
        <v>0</v>
      </c>
      <c r="O25" s="39">
        <f t="shared" si="5"/>
        <v>0</v>
      </c>
      <c r="P25" s="40">
        <f t="shared" si="6"/>
        <v>0</v>
      </c>
      <c r="Q25" s="41"/>
      <c r="R25" s="12"/>
      <c r="S25" s="12" t="str">
        <f t="shared" si="0"/>
        <v>1.15</v>
      </c>
      <c r="T25" s="12" t="b">
        <f t="shared" si="7"/>
        <v>0</v>
      </c>
      <c r="U25" s="15"/>
      <c r="V25" s="15"/>
      <c r="W25" s="42">
        <f>IFERROR(IF(OR($C25="ANP",$C25="DAER",$C25="CONSULTORIA DNIT",$C25="PREGÃO ELETRÔNICO",$C25="DMLU",$C25="DMAE",$C25="CEEE",$C25="EPTC",$C25="ORSE",$C25="SEINFRA",$C25="CREA",$C25="CAU",$C25="CEHOP",$C25="SIURB",$C25="DER-PR",$C25="SUDECAP",$C25=#REF!,$C25=#REF!),VLOOKUP($B25,#REF!,7,FALSE),IF($C25="INDEXADO",VLOOKUP($B25,#REF!,17,FALSE),IF($C25="CCU",VLOOKUP($B25,#REF!,6,FALSE),IF($C25="MERCADO",VLOOKUP('Orçamento N_DESON.'!$B25,#REF!,8,FALSE),IF($C25="PLEO",VLOOKUP($B25,#REF!,4,FALSE),IF($C25="SICRO",VLOOKUP($B25,#REF!,6,FALSE),IF($C25="SINAPI",IFERROR((VLOOKUP($B25,#REF!,5,FALSE)),"-"),"-"))))))),0)</f>
        <v>0</v>
      </c>
      <c r="X25" s="42" t="e">
        <f>IF(OR($C25="ANP",$C25="DAER",$C25="CONSULTORIA DNIT",$C25="PREGÃO ELETRÔNICO",$C25="DMLU",$C25="DMAE",$C25="CEEE",$C25="EPTC",$C25="ORSE",$C25="SEINFRA",$C25="CREA",$C25="CAU",$C25="CEHOP",$C25="SIURB",$C25="DER-PR",$C25="SUDECAP",$C25=#REF!,$C25=#REF!),VLOOKUP($B25,#REF!,8,FALSE),IF($C25="INDEXADO",VLOOKUP($B25,#REF!,18,FALSE),IF($C25="CCU",VLOOKUP($B25,#REF!,7,FALSE),IF($C25="MERCADO",VLOOKUP('Orçamento N_DESON.'!$B25,#REF!,9,FALSE),IF($C25="PLEO",VLOOKUP($B25,#REF!,4,FALSE),IF($C25="SICRO",VLOOKUP($B25,#REF!,7,FALSE),IF($C25="SINAPI",IFERROR((VLOOKUP($B25,#REF!,6,FALSE)),(VLOOKUP($B25,#REF!,27,FALSE))),"-")))))))</f>
        <v>#REF!</v>
      </c>
      <c r="Y25" s="16"/>
      <c r="Z25" s="17">
        <f t="shared" si="1"/>
        <v>33.222546000000001</v>
      </c>
      <c r="AA25" s="3">
        <f t="shared" si="2"/>
        <v>0</v>
      </c>
    </row>
    <row r="26" spans="1:27" ht="31.5" x14ac:dyDescent="0.2">
      <c r="A26" s="32" t="s">
        <v>43</v>
      </c>
      <c r="B26" s="43" t="s">
        <v>55</v>
      </c>
      <c r="C26" s="44" t="s">
        <v>1</v>
      </c>
      <c r="D26" s="35" t="s">
        <v>97</v>
      </c>
      <c r="E26" s="33" t="s">
        <v>71</v>
      </c>
      <c r="F26" s="104"/>
      <c r="G26" s="36"/>
      <c r="H26" s="36">
        <v>0</v>
      </c>
      <c r="I26" s="36">
        <v>34.368912279999996</v>
      </c>
      <c r="J26" s="37">
        <f t="shared" si="3"/>
        <v>34.368912279999996</v>
      </c>
      <c r="K26" s="38">
        <v>0.28620000000000001</v>
      </c>
      <c r="L26" s="39">
        <f t="shared" si="4"/>
        <v>44.21</v>
      </c>
      <c r="M26" s="39"/>
      <c r="N26" s="39">
        <f t="shared" si="8"/>
        <v>0</v>
      </c>
      <c r="O26" s="39">
        <f t="shared" si="5"/>
        <v>0</v>
      </c>
      <c r="P26" s="40">
        <f t="shared" si="6"/>
        <v>0</v>
      </c>
      <c r="Q26" s="41"/>
      <c r="R26" s="12"/>
      <c r="S26" s="12" t="str">
        <f t="shared" si="0"/>
        <v>1.16</v>
      </c>
      <c r="T26" s="12" t="b">
        <f t="shared" si="7"/>
        <v>0</v>
      </c>
      <c r="U26" s="15"/>
      <c r="V26" s="15"/>
      <c r="W26" s="42">
        <f>IFERROR(IF(OR($C26="ANP",$C26="DAER",$C26="CONSULTORIA DNIT",$C26="PREGÃO ELETRÔNICO",$C26="DMLU",$C26="DMAE",$C26="CEEE",$C26="EPTC",$C26="ORSE",$C26="SEINFRA",$C26="CREA",$C26="CAU",$C26="CEHOP",$C26="SIURB",$C26="DER-PR",$C26="SUDECAP",$C26=#REF!,$C26=#REF!),VLOOKUP($B26,#REF!,7,FALSE),IF($C26="INDEXADO",VLOOKUP($B26,#REF!,17,FALSE),IF($C26="CCU",VLOOKUP($B26,#REF!,6,FALSE),IF($C26="MERCADO",VLOOKUP('Orçamento N_DESON.'!$B26,#REF!,8,FALSE),IF($C26="PLEO",VLOOKUP($B26,#REF!,4,FALSE),IF($C26="SICRO",VLOOKUP($B26,#REF!,6,FALSE),IF($C26="SINAPI",IFERROR((VLOOKUP($B26,#REF!,5,FALSE)),"-"),"-"))))))),0)</f>
        <v>0</v>
      </c>
      <c r="X26" s="42" t="e">
        <f>IF(OR($C26="ANP",$C26="DAER",$C26="CONSULTORIA DNIT",$C26="PREGÃO ELETRÔNICO",$C26="DMLU",$C26="DMAE",$C26="CEEE",$C26="EPTC",$C26="ORSE",$C26="SEINFRA",$C26="CREA",$C26="CAU",$C26="CEHOP",$C26="SIURB",$C26="DER-PR",$C26="SUDECAP",$C26=#REF!,$C26=#REF!),VLOOKUP($B26,#REF!,8,FALSE),IF($C26="INDEXADO",VLOOKUP($B26,#REF!,18,FALSE),IF($C26="CCU",VLOOKUP($B26,#REF!,7,FALSE),IF($C26="MERCADO",VLOOKUP('Orçamento N_DESON.'!$B26,#REF!,9,FALSE),IF($C26="PLEO",VLOOKUP($B26,#REF!,4,FALSE),IF($C26="SICRO",VLOOKUP($B26,#REF!,7,FALSE),IF($C26="SINAPI",IFERROR((VLOOKUP($B26,#REF!,6,FALSE)),(VLOOKUP($B26,#REF!,27,FALSE))),"-")))))))</f>
        <v>#REF!</v>
      </c>
      <c r="Y26" s="16"/>
      <c r="Z26" s="17">
        <f t="shared" si="1"/>
        <v>44.205294974535995</v>
      </c>
      <c r="AA26" s="3">
        <f t="shared" si="2"/>
        <v>0</v>
      </c>
    </row>
    <row r="27" spans="1:27" ht="31.5" x14ac:dyDescent="0.2">
      <c r="A27" s="32" t="s">
        <v>44</v>
      </c>
      <c r="B27" s="43" t="s">
        <v>56</v>
      </c>
      <c r="C27" s="44" t="s">
        <v>1</v>
      </c>
      <c r="D27" s="35" t="s">
        <v>98</v>
      </c>
      <c r="E27" s="33" t="s">
        <v>71</v>
      </c>
      <c r="F27" s="104"/>
      <c r="G27" s="36"/>
      <c r="H27" s="36">
        <v>0</v>
      </c>
      <c r="I27" s="36">
        <v>51.553368419999998</v>
      </c>
      <c r="J27" s="37">
        <f t="shared" si="3"/>
        <v>51.553368419999998</v>
      </c>
      <c r="K27" s="38">
        <v>0.28620000000000001</v>
      </c>
      <c r="L27" s="39">
        <f t="shared" si="4"/>
        <v>66.31</v>
      </c>
      <c r="M27" s="39"/>
      <c r="N27" s="39">
        <f t="shared" si="8"/>
        <v>0</v>
      </c>
      <c r="O27" s="39">
        <f t="shared" si="5"/>
        <v>0</v>
      </c>
      <c r="P27" s="40">
        <f t="shared" si="6"/>
        <v>0</v>
      </c>
      <c r="Q27" s="41"/>
      <c r="R27" s="12"/>
      <c r="S27" s="12" t="str">
        <f t="shared" si="0"/>
        <v>1.17</v>
      </c>
      <c r="T27" s="12" t="b">
        <f t="shared" si="7"/>
        <v>0</v>
      </c>
      <c r="U27" s="15"/>
      <c r="V27" s="15"/>
      <c r="W27" s="42">
        <f>IFERROR(IF(OR($C27="ANP",$C27="DAER",$C27="CONSULTORIA DNIT",$C27="PREGÃO ELETRÔNICO",$C27="DMLU",$C27="DMAE",$C27="CEEE",$C27="EPTC",$C27="ORSE",$C27="SEINFRA",$C27="CREA",$C27="CAU",$C27="CEHOP",$C27="SIURB",$C27="DER-PR",$C27="SUDECAP",$C27=#REF!,$C27=#REF!),VLOOKUP($B27,#REF!,7,FALSE),IF($C27="INDEXADO",VLOOKUP($B27,#REF!,17,FALSE),IF($C27="CCU",VLOOKUP($B27,#REF!,6,FALSE),IF($C27="MERCADO",VLOOKUP('Orçamento N_DESON.'!$B27,#REF!,8,FALSE),IF($C27="PLEO",VLOOKUP($B27,#REF!,4,FALSE),IF($C27="SICRO",VLOOKUP($B27,#REF!,6,FALSE),IF($C27="SINAPI",IFERROR((VLOOKUP($B27,#REF!,5,FALSE)),"-"),"-"))))))),0)</f>
        <v>0</v>
      </c>
      <c r="X27" s="42" t="e">
        <f>IF(OR($C27="ANP",$C27="DAER",$C27="CONSULTORIA DNIT",$C27="PREGÃO ELETRÔNICO",$C27="DMLU",$C27="DMAE",$C27="CEEE",$C27="EPTC",$C27="ORSE",$C27="SEINFRA",$C27="CREA",$C27="CAU",$C27="CEHOP",$C27="SIURB",$C27="DER-PR",$C27="SUDECAP",$C27=#REF!,$C27=#REF!),VLOOKUP($B27,#REF!,8,FALSE),IF($C27="INDEXADO",VLOOKUP($B27,#REF!,18,FALSE),IF($C27="CCU",VLOOKUP($B27,#REF!,7,FALSE),IF($C27="MERCADO",VLOOKUP('Orçamento N_DESON.'!$B27,#REF!,9,FALSE),IF($C27="PLEO",VLOOKUP($B27,#REF!,4,FALSE),IF($C27="SICRO",VLOOKUP($B27,#REF!,7,FALSE),IF($C27="SINAPI",IFERROR((VLOOKUP($B27,#REF!,6,FALSE)),(VLOOKUP($B27,#REF!,27,FALSE))),"-")))))))</f>
        <v>#REF!</v>
      </c>
      <c r="Y27" s="16"/>
      <c r="Z27" s="17">
        <f t="shared" si="1"/>
        <v>66.307942461804004</v>
      </c>
      <c r="AA27" s="3">
        <f t="shared" si="2"/>
        <v>0</v>
      </c>
    </row>
    <row r="28" spans="1:27" ht="63" x14ac:dyDescent="0.2">
      <c r="A28" s="32" t="s">
        <v>45</v>
      </c>
      <c r="B28" s="43" t="s">
        <v>65</v>
      </c>
      <c r="C28" s="44" t="s">
        <v>1</v>
      </c>
      <c r="D28" s="35" t="s">
        <v>99</v>
      </c>
      <c r="E28" s="33" t="s">
        <v>69</v>
      </c>
      <c r="F28" s="104"/>
      <c r="G28" s="36"/>
      <c r="H28" s="36">
        <v>17.143958599999998</v>
      </c>
      <c r="I28" s="36">
        <v>350.01</v>
      </c>
      <c r="J28" s="37">
        <f t="shared" si="3"/>
        <v>367.15395860000001</v>
      </c>
      <c r="K28" s="38">
        <v>0.28620000000000001</v>
      </c>
      <c r="L28" s="39">
        <f t="shared" si="4"/>
        <v>472.23</v>
      </c>
      <c r="M28" s="39"/>
      <c r="N28" s="39">
        <f t="shared" si="8"/>
        <v>0</v>
      </c>
      <c r="O28" s="39">
        <f t="shared" si="5"/>
        <v>0</v>
      </c>
      <c r="P28" s="40">
        <f t="shared" si="6"/>
        <v>0</v>
      </c>
      <c r="Q28" s="41"/>
      <c r="R28" s="12"/>
      <c r="S28" s="12" t="str">
        <f t="shared" si="0"/>
        <v>1.18</v>
      </c>
      <c r="T28" s="12" t="b">
        <f t="shared" si="7"/>
        <v>0</v>
      </c>
      <c r="U28" s="15"/>
      <c r="V28" s="15"/>
      <c r="W28" s="42">
        <f>IFERROR(IF(OR($C28="ANP",$C28="DAER",$C28="CONSULTORIA DNIT",$C28="PREGÃO ELETRÔNICO",$C28="DMLU",$C28="DMAE",$C28="CEEE",$C28="EPTC",$C28="ORSE",$C28="SEINFRA",$C28="CREA",$C28="CAU",$C28="CEHOP",$C28="SIURB",$C28="DER-PR",$C28="SUDECAP",$C28=#REF!,$C28=#REF!),VLOOKUP($B28,#REF!,7,FALSE),IF($C28="INDEXADO",VLOOKUP($B28,#REF!,17,FALSE),IF($C28="CCU",VLOOKUP($B28,#REF!,6,FALSE),IF($C28="MERCADO",VLOOKUP('Orçamento N_DESON.'!$B28,#REF!,8,FALSE),IF($C28="PLEO",VLOOKUP($B28,#REF!,4,FALSE),IF($C28="SICRO",VLOOKUP($B28,#REF!,6,FALSE),IF($C28="SINAPI",IFERROR((VLOOKUP($B28,#REF!,5,FALSE)),"-"),"-"))))))),0)</f>
        <v>0</v>
      </c>
      <c r="X28" s="42" t="e">
        <f>IF(OR($C28="ANP",$C28="DAER",$C28="CONSULTORIA DNIT",$C28="PREGÃO ELETRÔNICO",$C28="DMLU",$C28="DMAE",$C28="CEEE",$C28="EPTC",$C28="ORSE",$C28="SEINFRA",$C28="CREA",$C28="CAU",$C28="CEHOP",$C28="SIURB",$C28="DER-PR",$C28="SUDECAP",$C28=#REF!,$C28=#REF!),VLOOKUP($B28,#REF!,8,FALSE),IF($C28="INDEXADO",VLOOKUP($B28,#REF!,18,FALSE),IF($C28="CCU",VLOOKUP($B28,#REF!,7,FALSE),IF($C28="MERCADO",VLOOKUP('Orçamento N_DESON.'!$B28,#REF!,9,FALSE),IF($C28="PLEO",VLOOKUP($B28,#REF!,4,FALSE),IF($C28="SICRO",VLOOKUP($B28,#REF!,7,FALSE),IF($C28="SINAPI",IFERROR((VLOOKUP($B28,#REF!,6,FALSE)),(VLOOKUP($B28,#REF!,27,FALSE))),"-")))))))</f>
        <v>#REF!</v>
      </c>
      <c r="Y28" s="16"/>
      <c r="Z28" s="17">
        <f t="shared" si="1"/>
        <v>472.23342155132002</v>
      </c>
      <c r="AA28" s="3">
        <f t="shared" si="2"/>
        <v>0</v>
      </c>
    </row>
    <row r="29" spans="1:27" ht="63" x14ac:dyDescent="0.2">
      <c r="A29" s="32" t="s">
        <v>46</v>
      </c>
      <c r="B29" s="43" t="s">
        <v>66</v>
      </c>
      <c r="C29" s="44" t="s">
        <v>1</v>
      </c>
      <c r="D29" s="35" t="s">
        <v>100</v>
      </c>
      <c r="E29" s="33" t="s">
        <v>69</v>
      </c>
      <c r="F29" s="104"/>
      <c r="G29" s="36"/>
      <c r="H29" s="36">
        <v>17.143958599999998</v>
      </c>
      <c r="I29" s="36">
        <v>450</v>
      </c>
      <c r="J29" s="37">
        <f t="shared" si="3"/>
        <v>467.14395860000002</v>
      </c>
      <c r="K29" s="38">
        <v>0.28620000000000001</v>
      </c>
      <c r="L29" s="39">
        <f t="shared" si="4"/>
        <v>600.84</v>
      </c>
      <c r="M29" s="39"/>
      <c r="N29" s="39">
        <f t="shared" si="8"/>
        <v>0</v>
      </c>
      <c r="O29" s="39">
        <f t="shared" si="5"/>
        <v>0</v>
      </c>
      <c r="P29" s="40">
        <f t="shared" si="6"/>
        <v>0</v>
      </c>
      <c r="Q29" s="41"/>
      <c r="R29" s="12"/>
      <c r="S29" s="12" t="str">
        <f t="shared" si="0"/>
        <v>1.19</v>
      </c>
      <c r="T29" s="12" t="b">
        <f t="shared" si="7"/>
        <v>0</v>
      </c>
      <c r="U29" s="15"/>
      <c r="V29" s="15"/>
      <c r="W29" s="42">
        <f>IFERROR(IF(OR($C29="ANP",$C29="DAER",$C29="CONSULTORIA DNIT",$C29="PREGÃO ELETRÔNICO",$C29="DMLU",$C29="DMAE",$C29="CEEE",$C29="EPTC",$C29="ORSE",$C29="SEINFRA",$C29="CREA",$C29="CAU",$C29="CEHOP",$C29="SIURB",$C29="DER-PR",$C29="SUDECAP",$C29=#REF!,$C29=#REF!),VLOOKUP($B29,#REF!,7,FALSE),IF($C29="INDEXADO",VLOOKUP($B29,#REF!,17,FALSE),IF($C29="CCU",VLOOKUP($B29,#REF!,6,FALSE),IF($C29="MERCADO",VLOOKUP('Orçamento N_DESON.'!$B29,#REF!,8,FALSE),IF($C29="PLEO",VLOOKUP($B29,#REF!,4,FALSE),IF($C29="SICRO",VLOOKUP($B29,#REF!,6,FALSE),IF($C29="SINAPI",IFERROR((VLOOKUP($B29,#REF!,5,FALSE)),"-"),"-"))))))),0)</f>
        <v>0</v>
      </c>
      <c r="X29" s="42" t="e">
        <f>IF(OR($C29="ANP",$C29="DAER",$C29="CONSULTORIA DNIT",$C29="PREGÃO ELETRÔNICO",$C29="DMLU",$C29="DMAE",$C29="CEEE",$C29="EPTC",$C29="ORSE",$C29="SEINFRA",$C29="CREA",$C29="CAU",$C29="CEHOP",$C29="SIURB",$C29="DER-PR",$C29="SUDECAP",$C29=#REF!,$C29=#REF!),VLOOKUP($B29,#REF!,8,FALSE),IF($C29="INDEXADO",VLOOKUP($B29,#REF!,18,FALSE),IF($C29="CCU",VLOOKUP($B29,#REF!,7,FALSE),IF($C29="MERCADO",VLOOKUP('Orçamento N_DESON.'!$B29,#REF!,9,FALSE),IF($C29="PLEO",VLOOKUP($B29,#REF!,4,FALSE),IF($C29="SICRO",VLOOKUP($B29,#REF!,7,FALSE),IF($C29="SINAPI",IFERROR((VLOOKUP($B29,#REF!,6,FALSE)),(VLOOKUP($B29,#REF!,27,FALSE))),"-")))))))</f>
        <v>#REF!</v>
      </c>
      <c r="Y29" s="16"/>
      <c r="Z29" s="17">
        <f t="shared" si="1"/>
        <v>600.84055955131998</v>
      </c>
      <c r="AA29" s="3">
        <f t="shared" si="2"/>
        <v>0</v>
      </c>
    </row>
    <row r="30" spans="1:27" ht="63" x14ac:dyDescent="0.2">
      <c r="A30" s="32" t="s">
        <v>47</v>
      </c>
      <c r="B30" s="43" t="s">
        <v>67</v>
      </c>
      <c r="C30" s="44" t="s">
        <v>1</v>
      </c>
      <c r="D30" s="35" t="s">
        <v>101</v>
      </c>
      <c r="E30" s="33" t="s">
        <v>69</v>
      </c>
      <c r="F30" s="104"/>
      <c r="G30" s="36"/>
      <c r="H30" s="36">
        <v>17.143958599999998</v>
      </c>
      <c r="I30" s="36">
        <v>500</v>
      </c>
      <c r="J30" s="37">
        <f t="shared" si="3"/>
        <v>517.14395860000002</v>
      </c>
      <c r="K30" s="38">
        <v>0.28620000000000001</v>
      </c>
      <c r="L30" s="39">
        <f t="shared" si="4"/>
        <v>665.15</v>
      </c>
      <c r="M30" s="39"/>
      <c r="N30" s="39">
        <f t="shared" si="8"/>
        <v>0</v>
      </c>
      <c r="O30" s="39">
        <f t="shared" si="5"/>
        <v>0</v>
      </c>
      <c r="P30" s="40">
        <f t="shared" si="6"/>
        <v>0</v>
      </c>
      <c r="Q30" s="41"/>
      <c r="R30" s="12"/>
      <c r="S30" s="12" t="str">
        <f t="shared" si="0"/>
        <v>1.20</v>
      </c>
      <c r="T30" s="12" t="b">
        <f t="shared" si="7"/>
        <v>0</v>
      </c>
      <c r="U30" s="15"/>
      <c r="V30" s="15"/>
      <c r="W30" s="42">
        <f>IFERROR(IF(OR($C30="ANP",$C30="DAER",$C30="CONSULTORIA DNIT",$C30="PREGÃO ELETRÔNICO",$C30="DMLU",$C30="DMAE",$C30="CEEE",$C30="EPTC",$C30="ORSE",$C30="SEINFRA",$C30="CREA",$C30="CAU",$C30="CEHOP",$C30="SIURB",$C30="DER-PR",$C30="SUDECAP",$C30=#REF!,$C30=#REF!),VLOOKUP($B30,#REF!,7,FALSE),IF($C30="INDEXADO",VLOOKUP($B30,#REF!,17,FALSE),IF($C30="CCU",VLOOKUP($B30,#REF!,6,FALSE),IF($C30="MERCADO",VLOOKUP('Orçamento N_DESON.'!$B30,#REF!,8,FALSE),IF($C30="PLEO",VLOOKUP($B30,#REF!,4,FALSE),IF($C30="SICRO",VLOOKUP($B30,#REF!,6,FALSE),IF($C30="SINAPI",IFERROR((VLOOKUP($B30,#REF!,5,FALSE)),"-"),"-"))))))),0)</f>
        <v>0</v>
      </c>
      <c r="X30" s="42" t="e">
        <f>IF(OR($C30="ANP",$C30="DAER",$C30="CONSULTORIA DNIT",$C30="PREGÃO ELETRÔNICO",$C30="DMLU",$C30="DMAE",$C30="CEEE",$C30="EPTC",$C30="ORSE",$C30="SEINFRA",$C30="CREA",$C30="CAU",$C30="CEHOP",$C30="SIURB",$C30="DER-PR",$C30="SUDECAP",$C30=#REF!,$C30=#REF!),VLOOKUP($B30,#REF!,8,FALSE),IF($C30="INDEXADO",VLOOKUP($B30,#REF!,18,FALSE),IF($C30="CCU",VLOOKUP($B30,#REF!,7,FALSE),IF($C30="MERCADO",VLOOKUP('Orçamento N_DESON.'!$B30,#REF!,9,FALSE),IF($C30="PLEO",VLOOKUP($B30,#REF!,4,FALSE),IF($C30="SICRO",VLOOKUP($B30,#REF!,7,FALSE),IF($C30="SINAPI",IFERROR((VLOOKUP($B30,#REF!,6,FALSE)),(VLOOKUP($B30,#REF!,27,FALSE))),"-")))))))</f>
        <v>#REF!</v>
      </c>
      <c r="Y30" s="16"/>
      <c r="Z30" s="17">
        <f t="shared" si="1"/>
        <v>665.15055955132004</v>
      </c>
      <c r="AA30" s="3">
        <f t="shared" si="2"/>
        <v>0</v>
      </c>
    </row>
    <row r="31" spans="1:27" ht="31.5" x14ac:dyDescent="0.2">
      <c r="A31" s="32" t="s">
        <v>48</v>
      </c>
      <c r="B31" s="43">
        <v>18</v>
      </c>
      <c r="C31" s="44" t="s">
        <v>73</v>
      </c>
      <c r="D31" s="35" t="s">
        <v>87</v>
      </c>
      <c r="E31" s="33" t="s">
        <v>69</v>
      </c>
      <c r="F31" s="104"/>
      <c r="G31" s="36"/>
      <c r="H31" s="36">
        <v>7.1154177780000012</v>
      </c>
      <c r="I31" s="36">
        <v>89.55</v>
      </c>
      <c r="J31" s="37">
        <f t="shared" si="3"/>
        <v>96.665417778000005</v>
      </c>
      <c r="K31" s="38">
        <v>0.28620000000000001</v>
      </c>
      <c r="L31" s="39">
        <f t="shared" si="4"/>
        <v>124.33</v>
      </c>
      <c r="M31" s="39"/>
      <c r="N31" s="39">
        <f t="shared" si="8"/>
        <v>0</v>
      </c>
      <c r="O31" s="39">
        <f t="shared" si="5"/>
        <v>0</v>
      </c>
      <c r="P31" s="40">
        <f t="shared" si="6"/>
        <v>0</v>
      </c>
      <c r="Q31" s="41"/>
      <c r="R31" s="12"/>
      <c r="S31" s="12" t="str">
        <f t="shared" si="0"/>
        <v>1.21</v>
      </c>
      <c r="T31" s="12" t="b">
        <f t="shared" si="7"/>
        <v>0</v>
      </c>
      <c r="U31" s="15"/>
      <c r="V31" s="15"/>
      <c r="W31" s="42">
        <f>IFERROR(IF(OR($C31="ANP",$C31="DAER",$C31="CONSULTORIA DNIT",$C31="PREGÃO ELETRÔNICO",$C31="DMLU",$C31="DMAE",$C31="CEEE",$C31="EPTC",$C31="ORSE",$C31="SEINFRA",$C31="CREA",$C31="CAU",$C31="CEHOP",$C31="SIURB",$C31="DER-PR",$C31="SUDECAP",$C31=#REF!,$C31=#REF!),VLOOKUP($B31,#REF!,7,FALSE),IF($C31="INDEXADO",VLOOKUP($B31,#REF!,17,FALSE),IF($C31="CCU",VLOOKUP($B31,#REF!,6,FALSE),IF($C31="MERCADO",VLOOKUP('Orçamento N_DESON.'!$B31,#REF!,8,FALSE),IF($C31="PLEO",VLOOKUP($B31,#REF!,4,FALSE),IF($C31="SICRO",VLOOKUP($B31,#REF!,6,FALSE),IF($C31="SINAPI",IFERROR((VLOOKUP($B31,#REF!,5,FALSE)),"-"),"-"))))))),0)</f>
        <v>0</v>
      </c>
      <c r="X31" s="42" t="e">
        <f>IF(OR($C31="ANP",$C31="DAER",$C31="CONSULTORIA DNIT",$C31="PREGÃO ELETRÔNICO",$C31="DMLU",$C31="DMAE",$C31="CEEE",$C31="EPTC",$C31="ORSE",$C31="SEINFRA",$C31="CREA",$C31="CAU",$C31="CEHOP",$C31="SIURB",$C31="DER-PR",$C31="SUDECAP",$C31=#REF!,$C31=#REF!),VLOOKUP($B31,#REF!,8,FALSE),IF($C31="INDEXADO",VLOOKUP($B31,#REF!,18,FALSE),IF($C31="CCU",VLOOKUP($B31,#REF!,7,FALSE),IF($C31="MERCADO",VLOOKUP('Orçamento N_DESON.'!$B31,#REF!,9,FALSE),IF($C31="PLEO",VLOOKUP($B31,#REF!,4,FALSE),IF($C31="SICRO",VLOOKUP($B31,#REF!,7,FALSE),IF($C31="SINAPI",IFERROR((VLOOKUP($B31,#REF!,6,FALSE)),(VLOOKUP($B31,#REF!,27,FALSE))),"-")))))))</f>
        <v>#REF!</v>
      </c>
      <c r="Y31" s="16"/>
      <c r="Z31" s="17">
        <f t="shared" si="1"/>
        <v>124.33106034606361</v>
      </c>
      <c r="AA31" s="3">
        <f t="shared" si="2"/>
        <v>0</v>
      </c>
    </row>
    <row r="32" spans="1:27" ht="31.5" x14ac:dyDescent="0.2">
      <c r="A32" s="32" t="s">
        <v>49</v>
      </c>
      <c r="B32" s="43">
        <v>19</v>
      </c>
      <c r="C32" s="44" t="s">
        <v>73</v>
      </c>
      <c r="D32" s="35" t="s">
        <v>88</v>
      </c>
      <c r="E32" s="33" t="s">
        <v>69</v>
      </c>
      <c r="F32" s="104"/>
      <c r="G32" s="36"/>
      <c r="H32" s="36">
        <v>13.499179999999999</v>
      </c>
      <c r="I32" s="36">
        <v>121.49262</v>
      </c>
      <c r="J32" s="37">
        <f t="shared" si="3"/>
        <v>134.99180000000001</v>
      </c>
      <c r="K32" s="38">
        <v>0.28620000000000001</v>
      </c>
      <c r="L32" s="39">
        <f t="shared" si="4"/>
        <v>173.63</v>
      </c>
      <c r="M32" s="39"/>
      <c r="N32" s="39">
        <f t="shared" si="8"/>
        <v>0</v>
      </c>
      <c r="O32" s="39">
        <f t="shared" si="5"/>
        <v>0</v>
      </c>
      <c r="P32" s="40">
        <f t="shared" si="6"/>
        <v>0</v>
      </c>
      <c r="Q32" s="41"/>
      <c r="R32" s="12"/>
      <c r="S32" s="12" t="str">
        <f t="shared" si="0"/>
        <v>1.22</v>
      </c>
      <c r="T32" s="12" t="b">
        <f t="shared" si="7"/>
        <v>0</v>
      </c>
      <c r="U32" s="15"/>
      <c r="V32" s="15"/>
      <c r="W32" s="42">
        <f>IFERROR(IF(OR($C32="ANP",$C32="DAER",$C32="CONSULTORIA DNIT",$C32="PREGÃO ELETRÔNICO",$C32="DMLU",$C32="DMAE",$C32="CEEE",$C32="EPTC",$C32="ORSE",$C32="SEINFRA",$C32="CREA",$C32="CAU",$C32="CEHOP",$C32="SIURB",$C32="DER-PR",$C32="SUDECAP",$C32=#REF!,$C32=#REF!),VLOOKUP($B32,#REF!,7,FALSE),IF($C32="INDEXADO",VLOOKUP($B32,#REF!,17,FALSE),IF($C32="CCU",VLOOKUP($B32,#REF!,6,FALSE),IF($C32="MERCADO",VLOOKUP('Orçamento N_DESON.'!$B32,#REF!,8,FALSE),IF($C32="PLEO",VLOOKUP($B32,#REF!,4,FALSE),IF($C32="SICRO",VLOOKUP($B32,#REF!,6,FALSE),IF($C32="SINAPI",IFERROR((VLOOKUP($B32,#REF!,5,FALSE)),"-"),"-"))))))),0)</f>
        <v>0</v>
      </c>
      <c r="X32" s="42" t="e">
        <f>IF(OR($C32="ANP",$C32="DAER",$C32="CONSULTORIA DNIT",$C32="PREGÃO ELETRÔNICO",$C32="DMLU",$C32="DMAE",$C32="CEEE",$C32="EPTC",$C32="ORSE",$C32="SEINFRA",$C32="CREA",$C32="CAU",$C32="CEHOP",$C32="SIURB",$C32="DER-PR",$C32="SUDECAP",$C32=#REF!,$C32=#REF!),VLOOKUP($B32,#REF!,8,FALSE),IF($C32="INDEXADO",VLOOKUP($B32,#REF!,18,FALSE),IF($C32="CCU",VLOOKUP($B32,#REF!,7,FALSE),IF($C32="MERCADO",VLOOKUP('Orçamento N_DESON.'!$B32,#REF!,9,FALSE),IF($C32="PLEO",VLOOKUP($B32,#REF!,4,FALSE),IF($C32="SICRO",VLOOKUP($B32,#REF!,7,FALSE),IF($C32="SINAPI",IFERROR((VLOOKUP($B32,#REF!,6,FALSE)),(VLOOKUP($B32,#REF!,27,FALSE))),"-")))))))</f>
        <v>#REF!</v>
      </c>
      <c r="Y32" s="16"/>
      <c r="Z32" s="17">
        <f t="shared" si="1"/>
        <v>173.62645316000001</v>
      </c>
      <c r="AA32" s="3">
        <f t="shared" si="2"/>
        <v>0</v>
      </c>
    </row>
    <row r="33" spans="1:27" ht="31.5" x14ac:dyDescent="0.2">
      <c r="A33" s="32" t="s">
        <v>50</v>
      </c>
      <c r="B33" s="43">
        <v>20</v>
      </c>
      <c r="C33" s="44" t="s">
        <v>73</v>
      </c>
      <c r="D33" s="35" t="s">
        <v>89</v>
      </c>
      <c r="E33" s="33" t="s">
        <v>69</v>
      </c>
      <c r="F33" s="104"/>
      <c r="G33" s="36"/>
      <c r="H33" s="36">
        <v>8.1352808270000008</v>
      </c>
      <c r="I33" s="36">
        <v>85</v>
      </c>
      <c r="J33" s="37">
        <f t="shared" si="3"/>
        <v>93.135280827000003</v>
      </c>
      <c r="K33" s="38">
        <v>0.28620000000000001</v>
      </c>
      <c r="L33" s="39">
        <f t="shared" si="4"/>
        <v>119.79</v>
      </c>
      <c r="M33" s="39"/>
      <c r="N33" s="39">
        <f t="shared" si="8"/>
        <v>0</v>
      </c>
      <c r="O33" s="39">
        <f t="shared" si="5"/>
        <v>0</v>
      </c>
      <c r="P33" s="40">
        <f t="shared" si="6"/>
        <v>0</v>
      </c>
      <c r="Q33" s="41"/>
      <c r="R33" s="12"/>
      <c r="S33" s="12" t="str">
        <f t="shared" si="0"/>
        <v>1.23</v>
      </c>
      <c r="T33" s="12" t="b">
        <f t="shared" si="7"/>
        <v>0</v>
      </c>
      <c r="U33" s="15"/>
      <c r="V33" s="15"/>
      <c r="W33" s="42">
        <f>IFERROR(IF(OR($C33="ANP",$C33="DAER",$C33="CONSULTORIA DNIT",$C33="PREGÃO ELETRÔNICO",$C33="DMLU",$C33="DMAE",$C33="CEEE",$C33="EPTC",$C33="ORSE",$C33="SEINFRA",$C33="CREA",$C33="CAU",$C33="CEHOP",$C33="SIURB",$C33="DER-PR",$C33="SUDECAP",$C33=#REF!,$C33=#REF!),VLOOKUP($B33,#REF!,7,FALSE),IF($C33="INDEXADO",VLOOKUP($B33,#REF!,17,FALSE),IF($C33="CCU",VLOOKUP($B33,#REF!,6,FALSE),IF($C33="MERCADO",VLOOKUP('Orçamento N_DESON.'!$B33,#REF!,8,FALSE),IF($C33="PLEO",VLOOKUP($B33,#REF!,4,FALSE),IF($C33="SICRO",VLOOKUP($B33,#REF!,6,FALSE),IF($C33="SINAPI",IFERROR((VLOOKUP($B33,#REF!,5,FALSE)),"-"),"-"))))))),0)</f>
        <v>0</v>
      </c>
      <c r="X33" s="42" t="e">
        <f>IF(OR($C33="ANP",$C33="DAER",$C33="CONSULTORIA DNIT",$C33="PREGÃO ELETRÔNICO",$C33="DMLU",$C33="DMAE",$C33="CEEE",$C33="EPTC",$C33="ORSE",$C33="SEINFRA",$C33="CREA",$C33="CAU",$C33="CEHOP",$C33="SIURB",$C33="DER-PR",$C33="SUDECAP",$C33=#REF!,$C33=#REF!),VLOOKUP($B33,#REF!,8,FALSE),IF($C33="INDEXADO",VLOOKUP($B33,#REF!,18,FALSE),IF($C33="CCU",VLOOKUP($B33,#REF!,7,FALSE),IF($C33="MERCADO",VLOOKUP('Orçamento N_DESON.'!$B33,#REF!,9,FALSE),IF($C33="PLEO",VLOOKUP($B33,#REF!,4,FALSE),IF($C33="SICRO",VLOOKUP($B33,#REF!,7,FALSE),IF($C33="SINAPI",IFERROR((VLOOKUP($B33,#REF!,6,FALSE)),(VLOOKUP($B33,#REF!,27,FALSE))),"-")))))))</f>
        <v>#REF!</v>
      </c>
      <c r="Y33" s="16"/>
      <c r="Z33" s="17">
        <f t="shared" si="1"/>
        <v>119.79059819968741</v>
      </c>
      <c r="AA33" s="3">
        <f t="shared" si="2"/>
        <v>0</v>
      </c>
    </row>
    <row r="34" spans="1:27" ht="31.5" x14ac:dyDescent="0.2">
      <c r="A34" s="32" t="s">
        <v>51</v>
      </c>
      <c r="B34" s="43">
        <v>115</v>
      </c>
      <c r="C34" s="44" t="s">
        <v>73</v>
      </c>
      <c r="D34" s="35" t="s">
        <v>90</v>
      </c>
      <c r="E34" s="33" t="s">
        <v>69</v>
      </c>
      <c r="F34" s="145" t="str">
        <f>IFERROR(IF(P34="","",P34/L34),0)</f>
        <v/>
      </c>
      <c r="G34" s="36"/>
      <c r="H34" s="36">
        <v>0</v>
      </c>
      <c r="I34" s="36">
        <v>200000</v>
      </c>
      <c r="J34" s="37">
        <f t="shared" si="3"/>
        <v>200000</v>
      </c>
      <c r="K34" s="38"/>
      <c r="L34" s="39">
        <f t="shared" si="4"/>
        <v>200000</v>
      </c>
      <c r="M34" s="39"/>
      <c r="N34" s="39">
        <f t="shared" si="8"/>
        <v>0</v>
      </c>
      <c r="O34" s="39">
        <f t="shared" si="5"/>
        <v>0</v>
      </c>
      <c r="P34" s="146"/>
      <c r="Q34" s="41"/>
      <c r="R34" s="12"/>
      <c r="S34" s="12" t="str">
        <f t="shared" si="0"/>
        <v>1.24</v>
      </c>
      <c r="T34" s="12" t="b">
        <f t="shared" si="7"/>
        <v>0</v>
      </c>
      <c r="U34" s="15"/>
      <c r="V34" s="15"/>
      <c r="W34" s="42">
        <f>IFERROR(IF(OR($C34="ANP",$C34="DAER",$C34="CONSULTORIA DNIT",$C34="PREGÃO ELETRÔNICO",$C34="DMLU",$C34="DMAE",$C34="CEEE",$C34="EPTC",$C34="ORSE",$C34="SEINFRA",$C34="CREA",$C34="CAU",$C34="CEHOP",$C34="SIURB",$C34="DER-PR",$C34="SUDECAP",$C34=#REF!,$C34=#REF!),VLOOKUP($B34,#REF!,7,FALSE),IF($C34="INDEXADO",VLOOKUP($B34,#REF!,17,FALSE),IF($C34="CCU",VLOOKUP($B34,#REF!,6,FALSE),IF($C34="MERCADO",VLOOKUP('Orçamento N_DESON.'!$B34,#REF!,8,FALSE),IF($C34="PLEO",VLOOKUP($B34,#REF!,4,FALSE),IF($C34="SICRO",VLOOKUP($B34,#REF!,6,FALSE),IF($C34="SINAPI",IFERROR((VLOOKUP($B34,#REF!,5,FALSE)),"-"),"-"))))))),0)</f>
        <v>0</v>
      </c>
      <c r="X34" s="42" t="e">
        <f>IF(OR($C34="ANP",$C34="DAER",$C34="CONSULTORIA DNIT",$C34="PREGÃO ELETRÔNICO",$C34="DMLU",$C34="DMAE",$C34="CEEE",$C34="EPTC",$C34="ORSE",$C34="SEINFRA",$C34="CREA",$C34="CAU",$C34="CEHOP",$C34="SIURB",$C34="DER-PR",$C34="SUDECAP",$C34=#REF!,$C34=#REF!),VLOOKUP($B34,#REF!,8,FALSE),IF($C34="INDEXADO",VLOOKUP($B34,#REF!,18,FALSE),IF($C34="CCU",VLOOKUP($B34,#REF!,7,FALSE),IF($C34="MERCADO",VLOOKUP('Orçamento N_DESON.'!$B34,#REF!,9,FALSE),IF($C34="PLEO",VLOOKUP($B34,#REF!,4,FALSE),IF($C34="SICRO",VLOOKUP($B34,#REF!,7,FALSE),IF($C34="SINAPI",IFERROR((VLOOKUP($B34,#REF!,6,FALSE)),(VLOOKUP($B34,#REF!,27,FALSE))),"-")))))))</f>
        <v>#REF!</v>
      </c>
      <c r="Y34" s="16"/>
      <c r="Z34" s="17">
        <f t="shared" si="1"/>
        <v>200000</v>
      </c>
      <c r="AA34" s="3" t="e">
        <f t="shared" si="2"/>
        <v>#VALUE!</v>
      </c>
    </row>
    <row r="35" spans="1:27" ht="12.75" customHeight="1" x14ac:dyDescent="0.2">
      <c r="A35" s="45"/>
      <c r="B35" s="46"/>
      <c r="C35" s="45"/>
      <c r="D35" s="47"/>
      <c r="E35" s="48"/>
      <c r="F35" s="49"/>
      <c r="G35" s="50"/>
      <c r="H35" s="50"/>
      <c r="I35" s="50"/>
      <c r="J35" s="51"/>
      <c r="K35" s="52"/>
      <c r="L35" s="53"/>
      <c r="M35" s="53"/>
      <c r="N35" s="53"/>
      <c r="O35" s="53"/>
      <c r="P35" s="54"/>
      <c r="Q35" s="12"/>
      <c r="R35" s="12"/>
      <c r="S35" s="12">
        <f t="shared" si="0"/>
        <v>0</v>
      </c>
      <c r="T35" s="12">
        <f t="shared" ref="T35:T37" si="9">IF(I35=0,P35-N35)</f>
        <v>0</v>
      </c>
      <c r="U35" s="12"/>
      <c r="V35" s="12"/>
      <c r="W35" s="12"/>
      <c r="X35" s="12"/>
      <c r="Y35" s="2"/>
      <c r="AA35" s="3" t="e">
        <f>SUM(AA11:AA34)</f>
        <v>#VALUE!</v>
      </c>
    </row>
    <row r="36" spans="1:27" ht="12.75" customHeight="1" x14ac:dyDescent="0.2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30"/>
      <c r="L36" s="57" t="str">
        <f>CONCATENATE("Subtotal ",D10)</f>
        <v>Subtotal (digite a descrição do item aqui)</v>
      </c>
      <c r="M36" s="58"/>
      <c r="N36" s="58">
        <f>SUM(N11:N35)</f>
        <v>0</v>
      </c>
      <c r="O36" s="58">
        <f>SUM(O11:O35)</f>
        <v>0</v>
      </c>
      <c r="P36" s="58">
        <f>SUM(P11:P35)</f>
        <v>0</v>
      </c>
      <c r="Q36" s="59"/>
      <c r="R36" s="12">
        <v>1</v>
      </c>
      <c r="S36" s="12"/>
      <c r="T36" s="12">
        <f t="shared" si="9"/>
        <v>0</v>
      </c>
      <c r="U36" s="41">
        <f>SUM(N36:O36)</f>
        <v>0</v>
      </c>
      <c r="V36" s="12" t="str">
        <f>IF(U36&lt;&gt;P36,"erro","ok")</f>
        <v>ok</v>
      </c>
      <c r="W36" s="12"/>
      <c r="X36" s="12"/>
      <c r="Y36" s="2"/>
    </row>
    <row r="37" spans="1:27" ht="6" customHeight="1" x14ac:dyDescent="0.2">
      <c r="A37" s="60"/>
      <c r="B37" s="25"/>
      <c r="C37" s="61"/>
      <c r="D37" s="6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  <c r="Q37" s="12"/>
      <c r="R37" s="12"/>
      <c r="S37" s="12">
        <f t="shared" si="0"/>
        <v>0</v>
      </c>
      <c r="T37" s="12">
        <f t="shared" si="9"/>
        <v>0</v>
      </c>
      <c r="U37" s="12"/>
      <c r="V37" s="12"/>
      <c r="W37" s="12"/>
      <c r="X37" s="12"/>
      <c r="Y37" s="2"/>
    </row>
    <row r="38" spans="1:27" ht="6" customHeight="1" x14ac:dyDescent="0.2">
      <c r="A38" s="62"/>
      <c r="B38" s="63"/>
      <c r="C38" s="64"/>
      <c r="D38" s="64"/>
      <c r="E38" s="63"/>
      <c r="F38" s="63"/>
      <c r="G38" s="63"/>
      <c r="H38" s="63"/>
      <c r="I38" s="63"/>
      <c r="J38" s="63"/>
      <c r="K38" s="25"/>
      <c r="L38" s="63"/>
      <c r="M38" s="25"/>
      <c r="N38" s="25"/>
      <c r="O38" s="25"/>
      <c r="P38" s="26"/>
      <c r="Q38" s="12"/>
      <c r="R38" s="12"/>
      <c r="S38" s="12"/>
      <c r="T38" s="12"/>
      <c r="U38" s="12"/>
      <c r="V38" s="12"/>
      <c r="W38" s="12"/>
      <c r="X38" s="12"/>
      <c r="Y38" s="2"/>
    </row>
    <row r="39" spans="1:27" ht="12.75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7"/>
      <c r="K39" s="68"/>
      <c r="L39" s="69" t="s">
        <v>18</v>
      </c>
      <c r="M39" s="70">
        <f>SUMIF($R10:$R37,1,M10:M37)</f>
        <v>0</v>
      </c>
      <c r="N39" s="70">
        <f>SUMIF($R10:$R37,1,N10:N37)</f>
        <v>0</v>
      </c>
      <c r="O39" s="70">
        <f>SUMIF($R10:$R37,1,O10:O37)</f>
        <v>0</v>
      </c>
      <c r="P39" s="70">
        <f>SUMIF($R10:$R37,1,P10:P37)</f>
        <v>0</v>
      </c>
      <c r="R39" s="12"/>
      <c r="S39" s="12"/>
      <c r="T39" s="12"/>
      <c r="U39" s="12"/>
      <c r="V39" s="12"/>
      <c r="W39" s="12"/>
      <c r="X39" s="12"/>
      <c r="Y39" s="2"/>
    </row>
    <row r="40" spans="1:27" ht="12.7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2"/>
      <c r="K40" s="73"/>
      <c r="L40" s="74" t="s">
        <v>72</v>
      </c>
      <c r="M40" s="75"/>
      <c r="N40" s="76">
        <f>IFERROR(N39/P39,0)</f>
        <v>0</v>
      </c>
      <c r="O40" s="77"/>
      <c r="P40" s="78"/>
      <c r="Q40" s="12"/>
      <c r="R40" s="79"/>
      <c r="S40" s="79"/>
      <c r="T40" s="79"/>
      <c r="U40" s="79"/>
      <c r="V40" s="79"/>
      <c r="W40" s="79"/>
      <c r="X40" s="79"/>
      <c r="Y40" s="80"/>
    </row>
    <row r="41" spans="1:27" ht="12.75" customHeight="1" x14ac:dyDescent="0.2">
      <c r="A41" s="81" t="s">
        <v>19</v>
      </c>
      <c r="B41" s="82"/>
      <c r="C41" s="82"/>
      <c r="D41" s="82"/>
      <c r="E41" s="82"/>
      <c r="F41" s="82"/>
      <c r="G41" s="82"/>
      <c r="H41" s="82"/>
      <c r="I41" s="82"/>
      <c r="J41" s="83"/>
      <c r="K41" s="25"/>
      <c r="L41" s="7"/>
      <c r="M41" s="7"/>
      <c r="N41" s="7"/>
      <c r="O41" s="7"/>
      <c r="P41" s="84"/>
      <c r="Q41" s="12"/>
      <c r="R41" s="12"/>
      <c r="S41" s="12"/>
      <c r="T41" s="12"/>
      <c r="U41" s="12"/>
      <c r="V41" s="12"/>
      <c r="W41" s="12"/>
      <c r="X41" s="12"/>
      <c r="Y41" s="2"/>
    </row>
    <row r="42" spans="1:27" ht="17.25" customHeight="1" x14ac:dyDescent="0.2">
      <c r="A42" s="117" t="s">
        <v>103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2"/>
      <c r="R42" s="12"/>
      <c r="S42" s="12"/>
      <c r="T42" s="12"/>
      <c r="U42" s="12"/>
      <c r="V42" s="12"/>
      <c r="W42" s="12"/>
      <c r="X42" s="12"/>
      <c r="Y42" s="2"/>
    </row>
    <row r="43" spans="1:27" ht="60.75" customHeight="1" x14ac:dyDescent="0.25">
      <c r="A43" s="118" t="s">
        <v>79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  <c r="Q43" s="12"/>
      <c r="R43" s="12"/>
      <c r="S43" s="12"/>
      <c r="T43" s="12"/>
      <c r="U43" s="12"/>
      <c r="V43" s="12"/>
      <c r="W43" s="12"/>
      <c r="X43" s="12"/>
      <c r="Y43" s="2"/>
    </row>
    <row r="44" spans="1:27" ht="12.75" customHeight="1" x14ac:dyDescent="0.2">
      <c r="A44" s="85"/>
      <c r="B44" s="86"/>
      <c r="C44" s="85"/>
      <c r="D44" s="85"/>
      <c r="E44" s="86"/>
      <c r="F44" s="86"/>
      <c r="G44" s="86"/>
      <c r="H44" s="86"/>
      <c r="I44" s="86"/>
      <c r="J44" s="86"/>
      <c r="K44" s="25"/>
      <c r="L44" s="86"/>
      <c r="M44" s="86"/>
      <c r="N44" s="86"/>
      <c r="O44" s="86"/>
      <c r="P44" s="86"/>
      <c r="Q44" s="12"/>
      <c r="R44" s="12"/>
      <c r="S44" s="12"/>
      <c r="T44" s="12"/>
      <c r="U44" s="12"/>
      <c r="V44" s="12"/>
      <c r="W44" s="12"/>
      <c r="X44" s="12"/>
      <c r="Y44" s="2"/>
    </row>
    <row r="45" spans="1:27" ht="12.75" customHeight="1" x14ac:dyDescent="0.25">
      <c r="A45" s="87"/>
      <c r="B45" s="88"/>
      <c r="C45" s="89"/>
      <c r="D45" s="89"/>
      <c r="E45" s="90"/>
      <c r="F45" s="91"/>
      <c r="G45" s="91"/>
      <c r="H45" s="91"/>
      <c r="I45" s="91"/>
      <c r="J45" s="91"/>
      <c r="K45" s="25"/>
      <c r="L45" s="91"/>
      <c r="M45" s="91"/>
      <c r="N45" s="91"/>
      <c r="O45" s="91"/>
      <c r="P45" s="91"/>
      <c r="Q45" s="12"/>
      <c r="R45" s="12"/>
      <c r="S45" s="12"/>
      <c r="T45" s="12"/>
      <c r="U45" s="12"/>
      <c r="V45" s="12"/>
      <c r="W45" s="12"/>
      <c r="X45" s="12"/>
      <c r="Y45" s="2"/>
    </row>
    <row r="46" spans="1:27" ht="12.75" customHeight="1" x14ac:dyDescent="0.25">
      <c r="A46" s="87"/>
      <c r="B46" s="88"/>
      <c r="C46" s="89"/>
      <c r="D46" s="92"/>
      <c r="E46" s="90"/>
      <c r="F46" s="91"/>
      <c r="G46" s="91"/>
      <c r="H46" s="91"/>
      <c r="I46" s="93"/>
      <c r="J46" s="94" t="s">
        <v>22</v>
      </c>
      <c r="K46" s="105"/>
      <c r="L46" s="106"/>
      <c r="M46" s="106"/>
      <c r="N46" s="106"/>
      <c r="O46" s="106"/>
      <c r="P46" s="107"/>
      <c r="Q46" s="12"/>
      <c r="R46" s="12"/>
      <c r="S46" s="12"/>
      <c r="T46" s="12"/>
      <c r="U46" s="12"/>
      <c r="V46" s="12"/>
      <c r="W46" s="12"/>
      <c r="X46" s="12"/>
      <c r="Y46" s="2"/>
    </row>
    <row r="47" spans="1:27" ht="12.75" customHeight="1" x14ac:dyDescent="0.25">
      <c r="A47" s="87"/>
      <c r="B47" s="88"/>
      <c r="C47" s="89"/>
      <c r="D47" s="92"/>
      <c r="E47" s="90"/>
      <c r="F47" s="91"/>
      <c r="G47" s="91"/>
      <c r="H47" s="91"/>
      <c r="I47" s="95"/>
      <c r="J47" s="96" t="s">
        <v>23</v>
      </c>
      <c r="K47" s="108"/>
      <c r="L47" s="109"/>
      <c r="M47" s="109"/>
      <c r="N47" s="109"/>
      <c r="O47" s="109"/>
      <c r="P47" s="110"/>
      <c r="Q47" s="12"/>
      <c r="R47" s="12"/>
      <c r="S47" s="12"/>
      <c r="T47" s="12"/>
      <c r="U47" s="12"/>
      <c r="V47" s="12"/>
      <c r="W47" s="12"/>
      <c r="X47" s="12"/>
      <c r="Y47" s="2"/>
    </row>
    <row r="48" spans="1:27" ht="12.75" customHeight="1" x14ac:dyDescent="0.2">
      <c r="A48" s="2"/>
      <c r="B48" s="19"/>
      <c r="C48" s="97"/>
      <c r="D48" s="12"/>
      <c r="E48" s="98"/>
      <c r="F48" s="99"/>
      <c r="G48" s="99"/>
      <c r="H48" s="99"/>
      <c r="I48" s="100"/>
      <c r="J48" s="101" t="s">
        <v>24</v>
      </c>
      <c r="K48" s="116"/>
      <c r="L48" s="116"/>
      <c r="M48" s="111"/>
      <c r="N48" s="111"/>
      <c r="O48" s="111"/>
      <c r="P48" s="112"/>
      <c r="Q48" s="12"/>
      <c r="R48" s="12"/>
      <c r="S48" s="12"/>
      <c r="T48" s="12"/>
      <c r="U48" s="12"/>
      <c r="V48" s="12"/>
      <c r="W48" s="12"/>
      <c r="X48" s="12"/>
      <c r="Y48" s="2"/>
    </row>
    <row r="49" spans="1:25" ht="12.75" customHeight="1" x14ac:dyDescent="0.2">
      <c r="A49" s="2"/>
      <c r="B49" s="19"/>
      <c r="C49" s="97"/>
      <c r="D49" s="12"/>
      <c r="E49" s="98"/>
      <c r="F49" s="99"/>
      <c r="G49" s="99"/>
      <c r="H49" s="99"/>
      <c r="I49" s="102"/>
      <c r="J49" s="103" t="s">
        <v>2</v>
      </c>
      <c r="K49" s="113"/>
      <c r="L49" s="114"/>
      <c r="M49" s="114"/>
      <c r="N49" s="114"/>
      <c r="O49" s="114"/>
      <c r="P49" s="115"/>
      <c r="Q49" s="12"/>
      <c r="R49" s="12"/>
      <c r="S49" s="12"/>
      <c r="T49" s="12"/>
      <c r="U49" s="12"/>
      <c r="V49" s="12"/>
      <c r="W49" s="12"/>
      <c r="X49" s="12"/>
      <c r="Y49" s="2"/>
    </row>
    <row r="50" spans="1:25" ht="12.75" customHeight="1" x14ac:dyDescent="0.2">
      <c r="A50" s="2"/>
      <c r="B50" s="19"/>
      <c r="C50" s="97"/>
      <c r="D50" s="97"/>
      <c r="E50" s="98"/>
      <c r="F50" s="99"/>
      <c r="G50" s="99"/>
      <c r="H50" s="99"/>
      <c r="I50" s="99"/>
      <c r="J50" s="99"/>
      <c r="K50" s="12"/>
      <c r="L50" s="99"/>
      <c r="M50" s="99"/>
      <c r="N50" s="99"/>
      <c r="O50" s="99"/>
      <c r="P50" s="99"/>
      <c r="Q50" s="12"/>
      <c r="R50" s="12"/>
      <c r="S50" s="12"/>
      <c r="T50" s="12"/>
      <c r="U50" s="12"/>
      <c r="V50" s="12"/>
      <c r="W50" s="12"/>
      <c r="X50" s="12"/>
      <c r="Y50" s="2"/>
    </row>
    <row r="51" spans="1:25" ht="12.75" customHeight="1" x14ac:dyDescent="0.2">
      <c r="A51" s="2"/>
      <c r="B51" s="19"/>
      <c r="C51" s="97"/>
      <c r="D51" s="97"/>
      <c r="E51" s="98"/>
      <c r="F51" s="99"/>
      <c r="G51" s="99"/>
      <c r="H51" s="99"/>
      <c r="I51" s="99"/>
      <c r="J51" s="99"/>
      <c r="K51" s="12"/>
      <c r="L51" s="99"/>
      <c r="M51" s="99"/>
      <c r="N51" s="99"/>
      <c r="O51" s="99"/>
      <c r="P51" s="99"/>
      <c r="Q51" s="12"/>
      <c r="R51" s="12"/>
      <c r="S51" s="12"/>
      <c r="T51" s="12"/>
      <c r="U51" s="12"/>
      <c r="V51" s="12"/>
      <c r="W51" s="12"/>
      <c r="X51" s="12"/>
      <c r="Y51" s="2"/>
    </row>
    <row r="52" spans="1:25" ht="12.75" customHeight="1" x14ac:dyDescent="0.2">
      <c r="A52" s="2"/>
      <c r="B52" s="19"/>
      <c r="C52" s="97"/>
      <c r="D52" s="97"/>
      <c r="E52" s="98"/>
      <c r="F52" s="99"/>
      <c r="G52" s="99"/>
      <c r="H52" s="99"/>
      <c r="I52" s="99"/>
      <c r="J52" s="99"/>
      <c r="K52" s="12"/>
      <c r="L52" s="99"/>
      <c r="M52" s="99"/>
      <c r="N52" s="99"/>
      <c r="O52" s="99"/>
      <c r="P52" s="99"/>
      <c r="Q52" s="12"/>
      <c r="R52" s="12"/>
      <c r="S52" s="12"/>
      <c r="T52" s="12"/>
      <c r="U52" s="12"/>
      <c r="V52" s="12"/>
      <c r="W52" s="12"/>
      <c r="X52" s="12"/>
      <c r="Y52" s="2"/>
    </row>
    <row r="53" spans="1:25" ht="12.75" customHeight="1" x14ac:dyDescent="0.2">
      <c r="A53" s="2"/>
      <c r="B53" s="19"/>
      <c r="C53" s="97"/>
      <c r="D53" s="97"/>
      <c r="E53" s="98"/>
      <c r="F53" s="99"/>
      <c r="G53" s="99"/>
      <c r="H53" s="99"/>
      <c r="I53" s="99"/>
      <c r="J53" s="99"/>
      <c r="K53" s="12"/>
      <c r="L53" s="99"/>
      <c r="M53" s="99"/>
      <c r="N53" s="99"/>
      <c r="O53" s="99"/>
      <c r="P53" s="99"/>
      <c r="Q53" s="12"/>
      <c r="R53" s="12"/>
      <c r="S53" s="12"/>
      <c r="T53" s="12"/>
      <c r="U53" s="12"/>
      <c r="V53" s="12"/>
      <c r="W53" s="12"/>
      <c r="X53" s="12"/>
      <c r="Y53" s="2"/>
    </row>
  </sheetData>
  <sheetProtection algorithmName="SHA-512" hashValue="upP/0CBSicUZwNvi3Dz8KspqsWZRNgkY/mvMG3G9644N3v7AvbpuMUE6rcaUPFYMDQhuEUYvFl8T35VnXV39Dw==" saltValue="MQ/1Qg7cCE0VjjOqclh5LQ==" spinCount="100000" sheet="1" formatCells="0" formatColumns="0" formatRows="0"/>
  <mergeCells count="21">
    <mergeCell ref="A1:P2"/>
    <mergeCell ref="U7:W7"/>
    <mergeCell ref="M7:P7"/>
    <mergeCell ref="B7:B8"/>
    <mergeCell ref="C7:C8"/>
    <mergeCell ref="D7:D8"/>
    <mergeCell ref="E7:E8"/>
    <mergeCell ref="F7:F8"/>
    <mergeCell ref="K48:L48"/>
    <mergeCell ref="A42:P42"/>
    <mergeCell ref="A43:P43"/>
    <mergeCell ref="A3:P3"/>
    <mergeCell ref="C4:L4"/>
    <mergeCell ref="A5:B5"/>
    <mergeCell ref="A6:B6"/>
    <mergeCell ref="A7:A8"/>
    <mergeCell ref="G7:J7"/>
    <mergeCell ref="K7:K8"/>
    <mergeCell ref="L7:L8"/>
    <mergeCell ref="C5:K5"/>
    <mergeCell ref="C6:K6"/>
  </mergeCells>
  <conditionalFormatting sqref="A3:P8">
    <cfRule type="expression" dxfId="6" priority="191">
      <formula>$C$5="ATENÇÃO: VALOR DESONERADO MENOR"</formula>
    </cfRule>
  </conditionalFormatting>
  <conditionalFormatting sqref="B11:C34 F11:F34">
    <cfRule type="expression" dxfId="5" priority="195">
      <formula>#REF!=1</formula>
    </cfRule>
  </conditionalFormatting>
  <conditionalFormatting sqref="G11:K34">
    <cfRule type="expression" dxfId="4" priority="193">
      <formula>#REF!=2</formula>
    </cfRule>
  </conditionalFormatting>
  <conditionalFormatting sqref="K11:K34">
    <cfRule type="expression" dxfId="3" priority="194">
      <formula>#REF!=1</formula>
    </cfRule>
  </conditionalFormatting>
  <conditionalFormatting sqref="M11:O40">
    <cfRule type="cellIs" dxfId="2" priority="291" operator="lessThan">
      <formula>0</formula>
    </cfRule>
  </conditionalFormatting>
  <conditionalFormatting sqref="M36:P36">
    <cfRule type="expression" dxfId="1" priority="251">
      <formula>$V$36="erro"</formula>
    </cfRule>
  </conditionalFormatting>
  <conditionalFormatting sqref="W11:X34">
    <cfRule type="expression" dxfId="0" priority="1">
      <formula>#REF!=2</formula>
    </cfRule>
  </conditionalFormatting>
  <dataValidations count="2">
    <dataValidation type="list" allowBlank="1" showInputMessage="1" showErrorMessage="1" promptTitle="Aviso" prompt="Utilizar apenas as fontes predeterminadas" sqref="C11:C34" xr:uid="{00000000-0002-0000-0A00-000001000000}">
      <formula1>#REF!</formula1>
    </dataValidation>
    <dataValidation type="list" allowBlank="1" showErrorMessage="1" sqref="K11:K34" xr:uid="{1AFDE297-8223-4365-9F4D-0B6B048180DB}">
      <formula1>#REF!</formula1>
    </dataValidation>
  </dataValidations>
  <printOptions horizontalCentered="1"/>
  <pageMargins left="0.7" right="0.7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N_DESON.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Lombardi</dc:creator>
  <cp:lastModifiedBy>Carolina Cafarate Nunes</cp:lastModifiedBy>
  <cp:lastPrinted>2026-03-27T11:56:16Z</cp:lastPrinted>
  <dcterms:created xsi:type="dcterms:W3CDTF">2017-09-29T18:48:58Z</dcterms:created>
  <dcterms:modified xsi:type="dcterms:W3CDTF">2026-07-03T19:18:32Z</dcterms:modified>
</cp:coreProperties>
</file>