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pmpa-fs3\smap-celic$\UCRP\SITE SMAP\RPs INCLUÍDOS\"/>
    </mc:Choice>
  </mc:AlternateContent>
  <xr:revisionPtr revIDLastSave="0" documentId="13_ncr:1_{522B3A5D-6B42-4741-9FD7-9D3A709ACDE1}" xr6:coauthVersionLast="47" xr6:coauthVersionMax="47" xr10:uidLastSave="{00000000-0000-0000-0000-000000000000}"/>
  <bookViews>
    <workbookView xWindow="-24120" yWindow="945" windowWidth="24240" windowHeight="13020" tabRatio="705" xr2:uid="{00000000-000D-0000-FFFF-FFFF00000000}"/>
  </bookViews>
  <sheets>
    <sheet name="Mão de Obra" sheetId="25" r:id="rId1"/>
    <sheet name="Produtividade" sheetId="24" state="hidden" r:id="rId2"/>
    <sheet name="Veículos" sheetId="6" state="hidden" r:id="rId3"/>
    <sheet name="Mat Individual e Uniformes func" sheetId="3" state="hidden" r:id="rId4"/>
    <sheet name="Mat Coletivo e Equipamentos" sheetId="9" state="hidden" r:id="rId5"/>
    <sheet name="Resumo" sheetId="5" r:id="rId6"/>
    <sheet name="Apoio - Regime de Trabalho" sheetId="1" state="hidden" r:id="rId7"/>
    <sheet name="Apoio - Notas Explicativas" sheetId="8" state="hidden" r:id="rId8"/>
    <sheet name="Apoio - Posto" sheetId="18" state="hidden" r:id="rId9"/>
    <sheet name="Apoio - Dados" sheetId="16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8" hidden="1">'Apoio - Posto'!$A$1:$S$634</definedName>
    <definedName name="_xlnm.Print_Area" localSheetId="0">'Mão de Obra'!$B$16:$B$156</definedName>
    <definedName name="_xlnm.Print_Area" localSheetId="1">Produtividade!$B$16:$B$156</definedName>
    <definedName name="familias_equipamentos" localSheetId="7">'Apoio - Notas Explicativas'!#REF!</definedName>
    <definedName name="familias_equipamentos" localSheetId="0">'[1]Base Apoio - etapa 1'!#REF!</definedName>
    <definedName name="familias_equipamentos" localSheetId="1">'[1]Base Apoio - etapa 1'!#REF!</definedName>
    <definedName name="familias_equipamentos" localSheetId="2">'[2]Base Apoio - etapa 1'!#REF!</definedName>
    <definedName name="familias_equipamentos">'[1]Base Apoio - etapa 1'!#REF!</definedName>
    <definedName name="materiais">[1]Fontes!$F$3:$F$9</definedName>
    <definedName name="percentuais" localSheetId="7">[3]Fontes!$C$1:$C$3</definedName>
    <definedName name="percentuais" localSheetId="2">[2]Fontes!$C$1:$C$3</definedName>
    <definedName name="percentuais">[1]Fontes!$C$1:$C$3</definedName>
    <definedName name="Sim_não" localSheetId="7">[3]Fontes!$A$1:$A$2</definedName>
    <definedName name="Sim_não" localSheetId="2">[2]Fontes!$A$1:$A$2</definedName>
    <definedName name="Sim_não">[1]Fontes!$A$1:$A$2</definedName>
    <definedName name="tributaçao" localSheetId="7">'Apoio - Notas Explicativas'!#REF!</definedName>
    <definedName name="tributaçao" localSheetId="2">'[2]Base Apoio - etapa 1'!$F$20:$H$20</definedName>
    <definedName name="tributaçao">'[1]Base Apoio - etapa 1'!$F$20:$H$20</definedName>
    <definedName name="Tributação" localSheetId="7">#REF!</definedName>
    <definedName name="Tributação" localSheetId="0">#REF!</definedName>
    <definedName name="Tributação" localSheetId="1">#REF!</definedName>
    <definedName name="Tributação" localSheetId="2">#REF!</definedName>
    <definedName name="Tributaçã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5" l="1"/>
  <c r="O19" i="25" l="1"/>
  <c r="P19" i="25"/>
  <c r="P44" i="25" s="1"/>
  <c r="P48" i="25" s="1"/>
  <c r="Q19" i="25"/>
  <c r="R19" i="25"/>
  <c r="R51" i="25" s="1"/>
  <c r="S19" i="25"/>
  <c r="T19" i="25"/>
  <c r="T52" i="25" s="1"/>
  <c r="U19" i="25"/>
  <c r="V19" i="25"/>
  <c r="W19" i="25"/>
  <c r="X19" i="25"/>
  <c r="Y19" i="25"/>
  <c r="Y44" i="25" s="1"/>
  <c r="Z19" i="25"/>
  <c r="Z52" i="25" s="1"/>
  <c r="AA19" i="25"/>
  <c r="AB19" i="25"/>
  <c r="AB51" i="25" s="1"/>
  <c r="AC19" i="25"/>
  <c r="AD19" i="25"/>
  <c r="O20" i="25"/>
  <c r="P20" i="25"/>
  <c r="P61" i="25" s="1"/>
  <c r="Q20" i="25"/>
  <c r="Q39" i="25" s="1"/>
  <c r="R20" i="25"/>
  <c r="R61" i="25" s="1"/>
  <c r="S20" i="25"/>
  <c r="T20" i="25"/>
  <c r="U20" i="25"/>
  <c r="V20" i="25"/>
  <c r="V39" i="25" s="1"/>
  <c r="W20" i="25"/>
  <c r="X20" i="25"/>
  <c r="X100" i="25" s="1"/>
  <c r="Y20" i="25"/>
  <c r="Z20" i="25"/>
  <c r="Z57" i="25" s="1"/>
  <c r="AA20" i="25"/>
  <c r="AB20" i="25"/>
  <c r="AB32" i="25" s="1"/>
  <c r="AC20" i="25"/>
  <c r="AD20" i="25"/>
  <c r="O21" i="25"/>
  <c r="P21" i="25"/>
  <c r="Q21" i="25"/>
  <c r="Q32" i="25" s="1"/>
  <c r="Q42" i="25" s="1"/>
  <c r="R21" i="25"/>
  <c r="R165" i="25" s="1"/>
  <c r="S21" i="25"/>
  <c r="T21" i="25"/>
  <c r="U21" i="25"/>
  <c r="V21" i="25"/>
  <c r="W21" i="25"/>
  <c r="X21" i="25"/>
  <c r="X32" i="25" s="1"/>
  <c r="Y21" i="25"/>
  <c r="Z21" i="25"/>
  <c r="AA21" i="25"/>
  <c r="AB21" i="25"/>
  <c r="AC21" i="25"/>
  <c r="AC32" i="25" s="1"/>
  <c r="AC42" i="25" s="1"/>
  <c r="AD21" i="25"/>
  <c r="AD165" i="25" s="1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S32" i="25"/>
  <c r="Z32" i="25"/>
  <c r="Z35" i="25" s="1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O39" i="25"/>
  <c r="S39" i="25"/>
  <c r="T39" i="25"/>
  <c r="U39" i="25"/>
  <c r="W39" i="25"/>
  <c r="Y39" i="25"/>
  <c r="AA39" i="25"/>
  <c r="AB39" i="25"/>
  <c r="AC39" i="25"/>
  <c r="AD39" i="25"/>
  <c r="O44" i="25"/>
  <c r="O45" i="25" s="1"/>
  <c r="Q44" i="25"/>
  <c r="Q48" i="25" s="1"/>
  <c r="R44" i="25"/>
  <c r="R45" i="25" s="1"/>
  <c r="S44" i="25"/>
  <c r="S48" i="25" s="1"/>
  <c r="U44" i="25"/>
  <c r="U45" i="25" s="1"/>
  <c r="V44" i="25"/>
  <c r="V48" i="25" s="1"/>
  <c r="W44" i="25"/>
  <c r="W48" i="25" s="1"/>
  <c r="X44" i="25"/>
  <c r="X48" i="25" s="1"/>
  <c r="AA44" i="25"/>
  <c r="AC44" i="25"/>
  <c r="AD44" i="25"/>
  <c r="AD45" i="25" s="1"/>
  <c r="AA45" i="25"/>
  <c r="AA48" i="25"/>
  <c r="O51" i="25"/>
  <c r="Q51" i="25"/>
  <c r="S51" i="25"/>
  <c r="U51" i="25"/>
  <c r="V51" i="25"/>
  <c r="W51" i="25"/>
  <c r="X51" i="25"/>
  <c r="AA51" i="25"/>
  <c r="AC51" i="25"/>
  <c r="AD51" i="25"/>
  <c r="O52" i="25"/>
  <c r="Q52" i="25"/>
  <c r="R52" i="25"/>
  <c r="S52" i="25"/>
  <c r="U52" i="25"/>
  <c r="V52" i="25"/>
  <c r="W52" i="25"/>
  <c r="X52" i="25"/>
  <c r="Y52" i="25"/>
  <c r="AA52" i="25"/>
  <c r="AC52" i="25"/>
  <c r="AD52" i="25"/>
  <c r="O55" i="25"/>
  <c r="P55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O57" i="25"/>
  <c r="Q57" i="25"/>
  <c r="S57" i="25"/>
  <c r="T57" i="25"/>
  <c r="W57" i="25"/>
  <c r="Y57" i="25"/>
  <c r="AA57" i="25"/>
  <c r="AC57" i="25"/>
  <c r="AD57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AD59" i="25"/>
  <c r="O61" i="25"/>
  <c r="Q61" i="25"/>
  <c r="S61" i="25"/>
  <c r="T61" i="25"/>
  <c r="W61" i="25"/>
  <c r="Y61" i="25"/>
  <c r="Z61" i="25"/>
  <c r="AA61" i="25"/>
  <c r="AC61" i="25"/>
  <c r="AD61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O93" i="25"/>
  <c r="P93" i="25"/>
  <c r="Q93" i="25"/>
  <c r="Q96" i="25" s="1"/>
  <c r="R93" i="25"/>
  <c r="S93" i="25"/>
  <c r="T93" i="25"/>
  <c r="U93" i="25"/>
  <c r="V93" i="25"/>
  <c r="W93" i="25"/>
  <c r="X93" i="25"/>
  <c r="Y93" i="25"/>
  <c r="Z93" i="25"/>
  <c r="AA93" i="25"/>
  <c r="AB93" i="25"/>
  <c r="AC93" i="25"/>
  <c r="AC96" i="25" s="1"/>
  <c r="AD93" i="25"/>
  <c r="O94" i="25"/>
  <c r="P94" i="25"/>
  <c r="Q94" i="25"/>
  <c r="R94" i="25"/>
  <c r="S94" i="25"/>
  <c r="T94" i="25"/>
  <c r="U94" i="25"/>
  <c r="V94" i="25"/>
  <c r="W94" i="25"/>
  <c r="X94" i="25"/>
  <c r="Y94" i="25"/>
  <c r="Z94" i="25"/>
  <c r="AA94" i="25"/>
  <c r="AB94" i="25"/>
  <c r="AC94" i="25"/>
  <c r="AD94" i="25"/>
  <c r="O95" i="25"/>
  <c r="P95" i="25"/>
  <c r="Q95" i="25"/>
  <c r="R95" i="25"/>
  <c r="S95" i="25"/>
  <c r="T95" i="25"/>
  <c r="T96" i="25" s="1"/>
  <c r="U95" i="25"/>
  <c r="V95" i="25"/>
  <c r="W95" i="25"/>
  <c r="X95" i="25"/>
  <c r="Y95" i="25"/>
  <c r="Z95" i="25"/>
  <c r="AA95" i="25"/>
  <c r="AB95" i="25"/>
  <c r="AC95" i="25"/>
  <c r="AD95" i="25"/>
  <c r="O100" i="25"/>
  <c r="Q100" i="25"/>
  <c r="S100" i="25"/>
  <c r="T100" i="25"/>
  <c r="W100" i="25"/>
  <c r="Y100" i="25"/>
  <c r="Z100" i="25"/>
  <c r="AA100" i="25"/>
  <c r="AC100" i="25"/>
  <c r="AD100" i="25"/>
  <c r="O101" i="25"/>
  <c r="P101" i="25"/>
  <c r="Q101" i="25"/>
  <c r="R101" i="25"/>
  <c r="S101" i="25"/>
  <c r="T101" i="25"/>
  <c r="U101" i="25"/>
  <c r="V101" i="25"/>
  <c r="W101" i="25"/>
  <c r="X101" i="25"/>
  <c r="Y101" i="25"/>
  <c r="Z101" i="25"/>
  <c r="AA101" i="25"/>
  <c r="AB101" i="25"/>
  <c r="AC101" i="25"/>
  <c r="AD101" i="25"/>
  <c r="O106" i="25"/>
  <c r="Q106" i="25"/>
  <c r="S106" i="25"/>
  <c r="T106" i="25"/>
  <c r="U106" i="25"/>
  <c r="V106" i="25"/>
  <c r="W106" i="25"/>
  <c r="X106" i="25"/>
  <c r="Y106" i="25"/>
  <c r="Z106" i="25"/>
  <c r="AA106" i="25"/>
  <c r="AB106" i="25"/>
  <c r="AC106" i="25"/>
  <c r="AD106" i="25"/>
  <c r="O107" i="25"/>
  <c r="P107" i="25"/>
  <c r="Q107" i="25"/>
  <c r="R107" i="25"/>
  <c r="S107" i="25"/>
  <c r="T107" i="25"/>
  <c r="U107" i="25"/>
  <c r="V107" i="25"/>
  <c r="W107" i="25"/>
  <c r="X107" i="25"/>
  <c r="Y107" i="25"/>
  <c r="Z107" i="25"/>
  <c r="AA107" i="25"/>
  <c r="AB107" i="25"/>
  <c r="AC107" i="25"/>
  <c r="AD107" i="25"/>
  <c r="O111" i="25"/>
  <c r="P111" i="25"/>
  <c r="Q111" i="25"/>
  <c r="R111" i="25"/>
  <c r="S111" i="25"/>
  <c r="T111" i="25"/>
  <c r="U111" i="25"/>
  <c r="V111" i="25"/>
  <c r="W111" i="25"/>
  <c r="X111" i="25"/>
  <c r="Y111" i="25"/>
  <c r="Z111" i="25"/>
  <c r="AA111" i="25"/>
  <c r="AB111" i="25"/>
  <c r="AC111" i="25"/>
  <c r="AD111" i="25"/>
  <c r="O112" i="25"/>
  <c r="P112" i="25"/>
  <c r="Q112" i="25"/>
  <c r="S112" i="25"/>
  <c r="T112" i="25"/>
  <c r="U112" i="25"/>
  <c r="V112" i="25"/>
  <c r="W112" i="25"/>
  <c r="X112" i="25"/>
  <c r="Y112" i="25"/>
  <c r="Z112" i="25"/>
  <c r="AA112" i="25"/>
  <c r="AB112" i="25"/>
  <c r="AC112" i="25"/>
  <c r="AD112" i="25"/>
  <c r="O114" i="25"/>
  <c r="P114" i="25"/>
  <c r="Q114" i="25"/>
  <c r="S114" i="25"/>
  <c r="T114" i="25"/>
  <c r="U114" i="25"/>
  <c r="V114" i="25"/>
  <c r="W114" i="25"/>
  <c r="X114" i="25"/>
  <c r="Y114" i="25"/>
  <c r="Z114" i="25"/>
  <c r="AA114" i="25"/>
  <c r="AB114" i="25"/>
  <c r="AC114" i="25"/>
  <c r="AD114" i="25"/>
  <c r="O128" i="25"/>
  <c r="P128" i="25"/>
  <c r="Q128" i="25"/>
  <c r="R128" i="25"/>
  <c r="S128" i="25"/>
  <c r="T128" i="25"/>
  <c r="U128" i="25"/>
  <c r="V128" i="25"/>
  <c r="W128" i="25"/>
  <c r="X128" i="25"/>
  <c r="Y128" i="25"/>
  <c r="Z128" i="25"/>
  <c r="AA128" i="25"/>
  <c r="AB128" i="25"/>
  <c r="AC128" i="25"/>
  <c r="AD128" i="25"/>
  <c r="O134" i="25"/>
  <c r="P134" i="25"/>
  <c r="Q134" i="25"/>
  <c r="R134" i="25"/>
  <c r="S134" i="25"/>
  <c r="T134" i="25"/>
  <c r="U134" i="25"/>
  <c r="V134" i="25"/>
  <c r="W134" i="25"/>
  <c r="X134" i="25"/>
  <c r="Y134" i="25"/>
  <c r="Z134" i="25"/>
  <c r="AA134" i="25"/>
  <c r="AB134" i="25"/>
  <c r="AC134" i="25"/>
  <c r="AD134" i="25"/>
  <c r="O142" i="25"/>
  <c r="O143" i="25" s="1"/>
  <c r="P142" i="25"/>
  <c r="P143" i="25" s="1"/>
  <c r="Q142" i="25"/>
  <c r="Q143" i="25" s="1"/>
  <c r="R142" i="25"/>
  <c r="R143" i="25" s="1"/>
  <c r="S142" i="25"/>
  <c r="S143" i="25" s="1"/>
  <c r="T142" i="25"/>
  <c r="T143" i="25" s="1"/>
  <c r="U142" i="25"/>
  <c r="U143" i="25" s="1"/>
  <c r="V142" i="25"/>
  <c r="V143" i="25" s="1"/>
  <c r="W142" i="25"/>
  <c r="W143" i="25" s="1"/>
  <c r="X142" i="25"/>
  <c r="X143" i="25" s="1"/>
  <c r="Y142" i="25"/>
  <c r="Y143" i="25" s="1"/>
  <c r="Z142" i="25"/>
  <c r="Z143" i="25" s="1"/>
  <c r="AA142" i="25"/>
  <c r="AA143" i="25" s="1"/>
  <c r="AB142" i="25"/>
  <c r="AB143" i="25" s="1"/>
  <c r="AC142" i="25"/>
  <c r="AC143" i="25" s="1"/>
  <c r="AD142" i="25"/>
  <c r="AD143" i="25" s="1"/>
  <c r="O148" i="25"/>
  <c r="P148" i="25"/>
  <c r="Q148" i="25"/>
  <c r="R148" i="25"/>
  <c r="S148" i="25"/>
  <c r="T148" i="25"/>
  <c r="U148" i="25"/>
  <c r="V148" i="25"/>
  <c r="W148" i="25"/>
  <c r="X148" i="25"/>
  <c r="Y148" i="25"/>
  <c r="Z148" i="25"/>
  <c r="AA148" i="25"/>
  <c r="AB148" i="25"/>
  <c r="AC148" i="25"/>
  <c r="AD148" i="25"/>
  <c r="O150" i="25"/>
  <c r="O180" i="25" s="1"/>
  <c r="O188" i="25" s="1"/>
  <c r="P150" i="25"/>
  <c r="P180" i="25" s="1"/>
  <c r="P188" i="25" s="1"/>
  <c r="Q150" i="25"/>
  <c r="R150" i="25"/>
  <c r="R180" i="25" s="1"/>
  <c r="R188" i="25" s="1"/>
  <c r="S150" i="25"/>
  <c r="S180" i="25" s="1"/>
  <c r="S188" i="25" s="1"/>
  <c r="T150" i="25"/>
  <c r="T180" i="25" s="1"/>
  <c r="T188" i="25" s="1"/>
  <c r="U150" i="25"/>
  <c r="U180" i="25" s="1"/>
  <c r="U188" i="25" s="1"/>
  <c r="V150" i="25"/>
  <c r="V180" i="25" s="1"/>
  <c r="V188" i="25" s="1"/>
  <c r="W150" i="25"/>
  <c r="W180" i="25" s="1"/>
  <c r="W188" i="25" s="1"/>
  <c r="X150" i="25"/>
  <c r="X180" i="25" s="1"/>
  <c r="X188" i="25" s="1"/>
  <c r="Y150" i="25"/>
  <c r="Z150" i="25"/>
  <c r="AA150" i="25"/>
  <c r="AA180" i="25" s="1"/>
  <c r="AA188" i="25" s="1"/>
  <c r="AB150" i="25"/>
  <c r="AB180" i="25" s="1"/>
  <c r="AB188" i="25" s="1"/>
  <c r="AC150" i="25"/>
  <c r="AC180" i="25" s="1"/>
  <c r="AC188" i="25" s="1"/>
  <c r="AD150" i="25"/>
  <c r="AD180" i="25" s="1"/>
  <c r="AD188" i="25" s="1"/>
  <c r="O155" i="25"/>
  <c r="P155" i="25"/>
  <c r="Q155" i="25"/>
  <c r="R155" i="25"/>
  <c r="S155" i="25"/>
  <c r="T155" i="25"/>
  <c r="U155" i="25"/>
  <c r="V155" i="25"/>
  <c r="W155" i="25"/>
  <c r="X155" i="25"/>
  <c r="Y155" i="25"/>
  <c r="Z155" i="25"/>
  <c r="AA155" i="25"/>
  <c r="AB155" i="25"/>
  <c r="AC155" i="25"/>
  <c r="AD155" i="25"/>
  <c r="O156" i="25"/>
  <c r="P156" i="25"/>
  <c r="Q156" i="25"/>
  <c r="R156" i="25"/>
  <c r="S156" i="25"/>
  <c r="T156" i="25"/>
  <c r="U156" i="25"/>
  <c r="V156" i="25"/>
  <c r="W156" i="25"/>
  <c r="X156" i="25"/>
  <c r="Y156" i="25"/>
  <c r="Z156" i="25"/>
  <c r="AA156" i="25"/>
  <c r="AB156" i="25"/>
  <c r="AC156" i="25"/>
  <c r="AD156" i="25"/>
  <c r="O157" i="25"/>
  <c r="P157" i="25"/>
  <c r="Q157" i="25"/>
  <c r="R157" i="25"/>
  <c r="S157" i="25"/>
  <c r="T157" i="25"/>
  <c r="U157" i="25"/>
  <c r="V157" i="25"/>
  <c r="W157" i="25"/>
  <c r="X157" i="25"/>
  <c r="Y157" i="25"/>
  <c r="Z157" i="25"/>
  <c r="AA157" i="25"/>
  <c r="AB157" i="25"/>
  <c r="AC157" i="25"/>
  <c r="AD157" i="25"/>
  <c r="O160" i="25"/>
  <c r="P160" i="25"/>
  <c r="Q160" i="25"/>
  <c r="R160" i="25"/>
  <c r="S160" i="25"/>
  <c r="T160" i="25"/>
  <c r="U160" i="25"/>
  <c r="V160" i="25"/>
  <c r="W160" i="25"/>
  <c r="X160" i="25"/>
  <c r="Y160" i="25"/>
  <c r="Z160" i="25"/>
  <c r="AA160" i="25"/>
  <c r="AB160" i="25"/>
  <c r="AC160" i="25"/>
  <c r="AD160" i="25"/>
  <c r="O161" i="25"/>
  <c r="P161" i="25"/>
  <c r="Q161" i="25"/>
  <c r="R161" i="25"/>
  <c r="S161" i="25"/>
  <c r="T161" i="25"/>
  <c r="U161" i="25"/>
  <c r="V161" i="25"/>
  <c r="W161" i="25"/>
  <c r="X161" i="25"/>
  <c r="Y161" i="25"/>
  <c r="Z161" i="25"/>
  <c r="AA161" i="25"/>
  <c r="AB161" i="25"/>
  <c r="AC161" i="25"/>
  <c r="AD161" i="25"/>
  <c r="O163" i="25"/>
  <c r="P163" i="25"/>
  <c r="Q163" i="25"/>
  <c r="R163" i="25"/>
  <c r="S163" i="25"/>
  <c r="T163" i="25"/>
  <c r="U163" i="25"/>
  <c r="V163" i="25"/>
  <c r="W163" i="25"/>
  <c r="X163" i="25"/>
  <c r="Y163" i="25"/>
  <c r="Z163" i="25"/>
  <c r="AA163" i="25"/>
  <c r="AB163" i="25"/>
  <c r="AC163" i="25"/>
  <c r="AD163" i="25"/>
  <c r="O164" i="25"/>
  <c r="P164" i="25"/>
  <c r="Q164" i="25"/>
  <c r="S164" i="25"/>
  <c r="T164" i="25"/>
  <c r="U164" i="25"/>
  <c r="W164" i="25"/>
  <c r="X164" i="25"/>
  <c r="Y164" i="25"/>
  <c r="Z164" i="25"/>
  <c r="AA164" i="25"/>
  <c r="AB164" i="25"/>
  <c r="AC164" i="25"/>
  <c r="AD164" i="25"/>
  <c r="O165" i="25"/>
  <c r="P165" i="25"/>
  <c r="Q165" i="25"/>
  <c r="S165" i="25"/>
  <c r="T165" i="25"/>
  <c r="U165" i="25"/>
  <c r="V165" i="25"/>
  <c r="W165" i="25"/>
  <c r="X165" i="25"/>
  <c r="Y165" i="25"/>
  <c r="Z165" i="25"/>
  <c r="AA165" i="25"/>
  <c r="AB165" i="25"/>
  <c r="AC165" i="25"/>
  <c r="O166" i="25"/>
  <c r="P166" i="25"/>
  <c r="Q166" i="25"/>
  <c r="R166" i="25"/>
  <c r="S166" i="25"/>
  <c r="T166" i="25"/>
  <c r="U166" i="25"/>
  <c r="V166" i="25"/>
  <c r="W166" i="25"/>
  <c r="X166" i="25"/>
  <c r="Y166" i="25"/>
  <c r="Z166" i="25"/>
  <c r="AA166" i="25"/>
  <c r="AB166" i="25"/>
  <c r="AC166" i="25"/>
  <c r="AD166" i="25"/>
  <c r="O168" i="25"/>
  <c r="O181" i="25" s="1"/>
  <c r="O189" i="25" s="1"/>
  <c r="P168" i="25"/>
  <c r="P181" i="25" s="1"/>
  <c r="P189" i="25" s="1"/>
  <c r="Q168" i="25"/>
  <c r="Q181" i="25" s="1"/>
  <c r="Q189" i="25" s="1"/>
  <c r="R168" i="25"/>
  <c r="S168" i="25"/>
  <c r="S181" i="25" s="1"/>
  <c r="S189" i="25" s="1"/>
  <c r="T168" i="25"/>
  <c r="T181" i="25" s="1"/>
  <c r="T189" i="25" s="1"/>
  <c r="U168" i="25"/>
  <c r="U181" i="25" s="1"/>
  <c r="U189" i="25" s="1"/>
  <c r="V168" i="25"/>
  <c r="W168" i="25"/>
  <c r="W181" i="25" s="1"/>
  <c r="W189" i="25" s="1"/>
  <c r="X168" i="25"/>
  <c r="X181" i="25" s="1"/>
  <c r="X189" i="25" s="1"/>
  <c r="Y168" i="25"/>
  <c r="Y181" i="25" s="1"/>
  <c r="Y189" i="25" s="1"/>
  <c r="Z168" i="25"/>
  <c r="AA168" i="25"/>
  <c r="AA181" i="25" s="1"/>
  <c r="AA189" i="25" s="1"/>
  <c r="AB168" i="25"/>
  <c r="AB181" i="25" s="1"/>
  <c r="AB189" i="25" s="1"/>
  <c r="AC168" i="25"/>
  <c r="AC181" i="25" s="1"/>
  <c r="AC189" i="25" s="1"/>
  <c r="AD168" i="25"/>
  <c r="AD181" i="25" s="1"/>
  <c r="AD189" i="25" s="1"/>
  <c r="O173" i="25"/>
  <c r="P173" i="25"/>
  <c r="Q173" i="25"/>
  <c r="R173" i="25"/>
  <c r="S173" i="25"/>
  <c r="T173" i="25"/>
  <c r="U173" i="25"/>
  <c r="V173" i="25"/>
  <c r="W173" i="25"/>
  <c r="X173" i="25"/>
  <c r="Y173" i="25"/>
  <c r="Z173" i="25"/>
  <c r="AA173" i="25"/>
  <c r="AB173" i="25"/>
  <c r="AC173" i="25"/>
  <c r="AD173" i="25"/>
  <c r="O174" i="25"/>
  <c r="P174" i="25"/>
  <c r="Q174" i="25"/>
  <c r="R174" i="25"/>
  <c r="S174" i="25"/>
  <c r="T174" i="25"/>
  <c r="U174" i="25"/>
  <c r="V174" i="25"/>
  <c r="W174" i="25"/>
  <c r="X174" i="25"/>
  <c r="Y174" i="25"/>
  <c r="Z174" i="25"/>
  <c r="AA174" i="25"/>
  <c r="AB174" i="25"/>
  <c r="AC174" i="25"/>
  <c r="AD174" i="25"/>
  <c r="O175" i="25"/>
  <c r="O176" i="25" s="1"/>
  <c r="P175" i="25"/>
  <c r="P176" i="25" s="1"/>
  <c r="Q175" i="25"/>
  <c r="Q176" i="25" s="1"/>
  <c r="R175" i="25"/>
  <c r="R176" i="25" s="1"/>
  <c r="S175" i="25"/>
  <c r="S176" i="25" s="1"/>
  <c r="T175" i="25"/>
  <c r="T176" i="25" s="1"/>
  <c r="U175" i="25"/>
  <c r="U176" i="25" s="1"/>
  <c r="V175" i="25"/>
  <c r="V176" i="25" s="1"/>
  <c r="W175" i="25"/>
  <c r="W176" i="25" s="1"/>
  <c r="X175" i="25"/>
  <c r="X176" i="25" s="1"/>
  <c r="Y175" i="25"/>
  <c r="Z175" i="25"/>
  <c r="AA175" i="25"/>
  <c r="AA176" i="25" s="1"/>
  <c r="AB175" i="25"/>
  <c r="AB176" i="25" s="1"/>
  <c r="AC175" i="25"/>
  <c r="AC176" i="25" s="1"/>
  <c r="AD175" i="25"/>
  <c r="AD176" i="25" s="1"/>
  <c r="O185" i="25"/>
  <c r="O186" i="25" s="1"/>
  <c r="P185" i="25"/>
  <c r="P186" i="25" s="1"/>
  <c r="Q185" i="25"/>
  <c r="R185" i="25"/>
  <c r="R186" i="25" s="1"/>
  <c r="S185" i="25"/>
  <c r="S186" i="25" s="1"/>
  <c r="T185" i="25"/>
  <c r="U185" i="25"/>
  <c r="U186" i="25" s="1"/>
  <c r="V185" i="25"/>
  <c r="V186" i="25" s="1"/>
  <c r="W185" i="25"/>
  <c r="W186" i="25" s="1"/>
  <c r="X185" i="25"/>
  <c r="X186" i="25" s="1"/>
  <c r="Y185" i="25"/>
  <c r="Y186" i="25" s="1"/>
  <c r="Z185" i="25"/>
  <c r="Z186" i="25" s="1"/>
  <c r="AA185" i="25"/>
  <c r="AA186" i="25" s="1"/>
  <c r="AB185" i="25"/>
  <c r="AC185" i="25"/>
  <c r="AC186" i="25" s="1"/>
  <c r="AD185" i="25"/>
  <c r="AD186" i="25" s="1"/>
  <c r="Q186" i="25"/>
  <c r="T186" i="25"/>
  <c r="AB186" i="25"/>
  <c r="L17" i="18"/>
  <c r="H5" i="1"/>
  <c r="H6" i="1"/>
  <c r="H7" i="1"/>
  <c r="H12" i="1"/>
  <c r="H13" i="1"/>
  <c r="H14" i="1"/>
  <c r="I5" i="1"/>
  <c r="I6" i="1"/>
  <c r="I7" i="1"/>
  <c r="I8" i="1"/>
  <c r="I10" i="1"/>
  <c r="I9" i="1"/>
  <c r="I11" i="1"/>
  <c r="I13" i="1"/>
  <c r="I12" i="1"/>
  <c r="I14" i="1"/>
  <c r="G8" i="1"/>
  <c r="AB35" i="25" l="1"/>
  <c r="AB42" i="25"/>
  <c r="T51" i="25"/>
  <c r="Y96" i="25"/>
  <c r="AB44" i="25"/>
  <c r="P39" i="25"/>
  <c r="S35" i="25"/>
  <c r="AB61" i="25"/>
  <c r="P52" i="25"/>
  <c r="P32" i="25"/>
  <c r="P42" i="25" s="1"/>
  <c r="P57" i="25"/>
  <c r="P58" i="25" s="1"/>
  <c r="AB52" i="25"/>
  <c r="P51" i="25"/>
  <c r="P100" i="25"/>
  <c r="X61" i="25"/>
  <c r="AB100" i="25"/>
  <c r="AB57" i="25"/>
  <c r="T44" i="25"/>
  <c r="T48" i="25" s="1"/>
  <c r="X45" i="25"/>
  <c r="X39" i="25"/>
  <c r="V45" i="25"/>
  <c r="P35" i="25"/>
  <c r="X57" i="25"/>
  <c r="X58" i="25" s="1"/>
  <c r="S45" i="25"/>
  <c r="P106" i="25"/>
  <c r="AB96" i="25"/>
  <c r="AD58" i="25"/>
  <c r="Z39" i="25"/>
  <c r="P96" i="25"/>
  <c r="X91" i="25"/>
  <c r="W96" i="25"/>
  <c r="S91" i="25"/>
  <c r="U32" i="25"/>
  <c r="U42" i="25" s="1"/>
  <c r="R96" i="25"/>
  <c r="T32" i="25"/>
  <c r="T35" i="25" s="1"/>
  <c r="AD96" i="25"/>
  <c r="Y180" i="25"/>
  <c r="Y188" i="25" s="1"/>
  <c r="Q180" i="25"/>
  <c r="Q188" i="25" s="1"/>
  <c r="R39" i="25"/>
  <c r="Z42" i="25"/>
  <c r="Z181" i="25"/>
  <c r="Z189" i="25" s="1"/>
  <c r="Z180" i="25"/>
  <c r="Z188" i="25" s="1"/>
  <c r="S58" i="25"/>
  <c r="Z58" i="25"/>
  <c r="R114" i="25"/>
  <c r="R57" i="25"/>
  <c r="R58" i="25" s="1"/>
  <c r="R181" i="25"/>
  <c r="R189" i="25" s="1"/>
  <c r="Y58" i="25"/>
  <c r="R164" i="25"/>
  <c r="R112" i="25"/>
  <c r="R100" i="25"/>
  <c r="R106" i="25"/>
  <c r="Y45" i="25"/>
  <c r="Y48" i="25"/>
  <c r="AC91" i="25"/>
  <c r="Q91" i="25"/>
  <c r="V61" i="25"/>
  <c r="R32" i="25"/>
  <c r="U61" i="25"/>
  <c r="V57" i="25"/>
  <c r="V58" i="25" s="1"/>
  <c r="Z91" i="25"/>
  <c r="U57" i="25"/>
  <c r="AC58" i="25"/>
  <c r="Q58" i="25"/>
  <c r="Z51" i="25"/>
  <c r="AC35" i="25"/>
  <c r="Q35" i="25"/>
  <c r="Q49" i="25" s="1"/>
  <c r="AA32" i="25"/>
  <c r="AA42" i="25" s="1"/>
  <c r="O32" i="25"/>
  <c r="O91" i="25" s="1"/>
  <c r="Y176" i="25"/>
  <c r="S96" i="25"/>
  <c r="AB58" i="25"/>
  <c r="Y51" i="25"/>
  <c r="AD48" i="25"/>
  <c r="Z44" i="25"/>
  <c r="Z96" i="25"/>
  <c r="T91" i="25"/>
  <c r="AD32" i="25"/>
  <c r="X35" i="25"/>
  <c r="X49" i="25" s="1"/>
  <c r="Z176" i="25"/>
  <c r="V181" i="25"/>
  <c r="V189" i="25" s="1"/>
  <c r="V164" i="25"/>
  <c r="V100" i="25"/>
  <c r="AA96" i="25"/>
  <c r="O96" i="25"/>
  <c r="V32" i="25"/>
  <c r="U100" i="25"/>
  <c r="V96" i="25"/>
  <c r="AB91" i="25"/>
  <c r="Q45" i="25"/>
  <c r="Y32" i="25"/>
  <c r="Y35" i="25" s="1"/>
  <c r="P45" i="25"/>
  <c r="X96" i="25"/>
  <c r="U58" i="25"/>
  <c r="O48" i="25"/>
  <c r="S49" i="25"/>
  <c r="S42" i="25"/>
  <c r="W32" i="25"/>
  <c r="W91" i="25" s="1"/>
  <c r="U96" i="25"/>
  <c r="AA91" i="25"/>
  <c r="W58" i="25"/>
  <c r="U48" i="25"/>
  <c r="W45" i="25"/>
  <c r="T58" i="25"/>
  <c r="R48" i="25"/>
  <c r="AC48" i="25"/>
  <c r="AA58" i="25"/>
  <c r="O58" i="25"/>
  <c r="AC45" i="25"/>
  <c r="AC46" i="25" s="1"/>
  <c r="AC53" i="25" s="1"/>
  <c r="X42" i="25"/>
  <c r="G14" i="1"/>
  <c r="G13" i="1"/>
  <c r="G12" i="1"/>
  <c r="G11" i="1"/>
  <c r="G9" i="1"/>
  <c r="G10" i="1"/>
  <c r="U35" i="25" l="1"/>
  <c r="U46" i="25" s="1"/>
  <c r="U53" i="25" s="1"/>
  <c r="U91" i="25"/>
  <c r="U49" i="25"/>
  <c r="P49" i="25"/>
  <c r="AB48" i="25"/>
  <c r="AB49" i="25" s="1"/>
  <c r="AB45" i="25"/>
  <c r="AB46" i="25" s="1"/>
  <c r="AB53" i="25" s="1"/>
  <c r="P91" i="25"/>
  <c r="S46" i="25"/>
  <c r="S53" i="25" s="1"/>
  <c r="P46" i="25"/>
  <c r="P53" i="25" s="1"/>
  <c r="T45" i="25"/>
  <c r="T46" i="25" s="1"/>
  <c r="T53" i="25" s="1"/>
  <c r="T49" i="25"/>
  <c r="Q46" i="25"/>
  <c r="Q53" i="25" s="1"/>
  <c r="T42" i="25"/>
  <c r="W42" i="25"/>
  <c r="X46" i="25"/>
  <c r="X53" i="25" s="1"/>
  <c r="O35" i="25"/>
  <c r="O46" i="25" s="1"/>
  <c r="O53" i="25" s="1"/>
  <c r="O42" i="25"/>
  <c r="AD35" i="25"/>
  <c r="AD53" i="25" s="1"/>
  <c r="AD42" i="25"/>
  <c r="Y49" i="25"/>
  <c r="AD46" i="25"/>
  <c r="Y42" i="25"/>
  <c r="AD91" i="25"/>
  <c r="V35" i="25"/>
  <c r="V49" i="25" s="1"/>
  <c r="V42" i="25"/>
  <c r="AA35" i="25"/>
  <c r="AA49" i="25" s="1"/>
  <c r="AC49" i="25"/>
  <c r="Y91" i="25"/>
  <c r="W35" i="25"/>
  <c r="W49" i="25" s="1"/>
  <c r="Y46" i="25"/>
  <c r="Y53" i="25" s="1"/>
  <c r="R35" i="25"/>
  <c r="R49" i="25" s="1"/>
  <c r="R42" i="25"/>
  <c r="R91" i="25"/>
  <c r="Z48" i="25"/>
  <c r="Z49" i="25" s="1"/>
  <c r="Z45" i="25"/>
  <c r="Z46" i="25" s="1"/>
  <c r="Z53" i="25" s="1"/>
  <c r="V91" i="25"/>
  <c r="AA46" i="25"/>
  <c r="AA53" i="25" s="1"/>
  <c r="W46" i="25"/>
  <c r="F142" i="24"/>
  <c r="G142" i="24"/>
  <c r="H142" i="24"/>
  <c r="F142" i="25"/>
  <c r="G142" i="25"/>
  <c r="H142" i="25"/>
  <c r="I142" i="25"/>
  <c r="J142" i="25"/>
  <c r="K142" i="25"/>
  <c r="L142" i="25"/>
  <c r="M142" i="25"/>
  <c r="N142" i="25"/>
  <c r="F90" i="24"/>
  <c r="G90" i="24"/>
  <c r="H90" i="24"/>
  <c r="E90" i="24"/>
  <c r="F90" i="25"/>
  <c r="G90" i="25"/>
  <c r="H90" i="25"/>
  <c r="I90" i="25"/>
  <c r="J90" i="25"/>
  <c r="K90" i="25"/>
  <c r="L90" i="25"/>
  <c r="M90" i="25"/>
  <c r="N90" i="25"/>
  <c r="E90" i="25"/>
  <c r="Q15" i="8"/>
  <c r="Q16" i="8" s="1"/>
  <c r="F21" i="6"/>
  <c r="G21" i="6"/>
  <c r="H21" i="6"/>
  <c r="I21" i="6"/>
  <c r="E21" i="6"/>
  <c r="H98" i="8"/>
  <c r="G64" i="6"/>
  <c r="H64" i="6"/>
  <c r="I64" i="6"/>
  <c r="F65" i="6"/>
  <c r="G65" i="6"/>
  <c r="H65" i="6"/>
  <c r="I65" i="6"/>
  <c r="G66" i="6"/>
  <c r="H66" i="6"/>
  <c r="I66" i="6"/>
  <c r="G69" i="6"/>
  <c r="H69" i="6"/>
  <c r="I69" i="6"/>
  <c r="G70" i="6"/>
  <c r="H70" i="6"/>
  <c r="I70" i="6"/>
  <c r="G73" i="6"/>
  <c r="H73" i="6"/>
  <c r="I73" i="6"/>
  <c r="G74" i="6"/>
  <c r="H74" i="6"/>
  <c r="I74" i="6"/>
  <c r="E65" i="6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G37" i="6"/>
  <c r="H37" i="6"/>
  <c r="I37" i="6"/>
  <c r="F38" i="6"/>
  <c r="G38" i="6"/>
  <c r="H38" i="6"/>
  <c r="I38" i="6"/>
  <c r="F41" i="6"/>
  <c r="F42" i="6" s="1"/>
  <c r="G41" i="6"/>
  <c r="H41" i="6"/>
  <c r="I41" i="6"/>
  <c r="G42" i="6"/>
  <c r="H42" i="6"/>
  <c r="I42" i="6"/>
  <c r="G43" i="6"/>
  <c r="H43" i="6"/>
  <c r="I43" i="6"/>
  <c r="G47" i="6"/>
  <c r="H47" i="6"/>
  <c r="I47" i="6"/>
  <c r="J6" i="5"/>
  <c r="J7" i="5"/>
  <c r="J9" i="5"/>
  <c r="J10" i="5"/>
  <c r="P144" i="8" s="1"/>
  <c r="B8" i="5"/>
  <c r="C7" i="5"/>
  <c r="C6" i="5"/>
  <c r="D149" i="24"/>
  <c r="AD49" i="25" l="1"/>
  <c r="V46" i="25"/>
  <c r="V53" i="25" s="1"/>
  <c r="E38" i="6"/>
  <c r="L9" i="9"/>
  <c r="L13" i="9"/>
  <c r="L17" i="9"/>
  <c r="L21" i="9"/>
  <c r="L25" i="9"/>
  <c r="L18" i="9"/>
  <c r="L7" i="9"/>
  <c r="L11" i="9"/>
  <c r="L15" i="9"/>
  <c r="L19" i="9"/>
  <c r="L23" i="9"/>
  <c r="L14" i="9"/>
  <c r="L6" i="9"/>
  <c r="K32" i="5" s="1"/>
  <c r="J32" i="5" s="1"/>
  <c r="L8" i="9"/>
  <c r="L12" i="9"/>
  <c r="L16" i="9"/>
  <c r="L20" i="9"/>
  <c r="L24" i="9"/>
  <c r="L10" i="9"/>
  <c r="L22" i="9"/>
  <c r="W53" i="25"/>
  <c r="O49" i="25"/>
  <c r="R46" i="25"/>
  <c r="R53" i="25" s="1"/>
  <c r="F47" i="6"/>
  <c r="F37" i="6"/>
  <c r="E37" i="6"/>
  <c r="I3" i="3"/>
  <c r="J3" i="3"/>
  <c r="K3" i="3"/>
  <c r="L3" i="3"/>
  <c r="H3" i="3"/>
  <c r="B3" i="5" l="1"/>
  <c r="D74" i="6" l="1"/>
  <c r="D15" i="24"/>
  <c r="I19" i="25"/>
  <c r="I51" i="25" s="1"/>
  <c r="J19" i="25"/>
  <c r="J44" i="25" s="1"/>
  <c r="J48" i="25" s="1"/>
  <c r="K19" i="25"/>
  <c r="K51" i="25" s="1"/>
  <c r="L19" i="25"/>
  <c r="L51" i="25" s="1"/>
  <c r="M19" i="25"/>
  <c r="M52" i="25" s="1"/>
  <c r="N19" i="25"/>
  <c r="N52" i="25" s="1"/>
  <c r="I20" i="25"/>
  <c r="I57" i="25" s="1"/>
  <c r="J20" i="25"/>
  <c r="J61" i="25" s="1"/>
  <c r="K20" i="25"/>
  <c r="K61" i="25" s="1"/>
  <c r="L20" i="25"/>
  <c r="L106" i="25" s="1"/>
  <c r="M20" i="25"/>
  <c r="M57" i="25" s="1"/>
  <c r="N20" i="25"/>
  <c r="N61" i="25" s="1"/>
  <c r="I21" i="25"/>
  <c r="I165" i="25" s="1"/>
  <c r="J21" i="25"/>
  <c r="J165" i="25" s="1"/>
  <c r="K21" i="25"/>
  <c r="K165" i="25" s="1"/>
  <c r="L21" i="25"/>
  <c r="L165" i="25" s="1"/>
  <c r="M21" i="25"/>
  <c r="N21" i="25"/>
  <c r="N165" i="25" s="1"/>
  <c r="I22" i="25"/>
  <c r="J22" i="25"/>
  <c r="K22" i="25"/>
  <c r="L22" i="25"/>
  <c r="M22" i="25"/>
  <c r="N22" i="25"/>
  <c r="I23" i="25"/>
  <c r="J23" i="25"/>
  <c r="K23" i="25"/>
  <c r="L23" i="25"/>
  <c r="M23" i="25"/>
  <c r="N23" i="25"/>
  <c r="I24" i="25"/>
  <c r="J24" i="25"/>
  <c r="K24" i="25"/>
  <c r="L24" i="25"/>
  <c r="M24" i="25"/>
  <c r="N24" i="25"/>
  <c r="I28" i="25"/>
  <c r="J28" i="25"/>
  <c r="K28" i="25"/>
  <c r="L28" i="25"/>
  <c r="M28" i="25"/>
  <c r="N28" i="25"/>
  <c r="I29" i="25"/>
  <c r="J29" i="25"/>
  <c r="K29" i="25"/>
  <c r="L29" i="25"/>
  <c r="M29" i="25"/>
  <c r="N29" i="25"/>
  <c r="I34" i="25"/>
  <c r="J34" i="25"/>
  <c r="K34" i="25"/>
  <c r="L34" i="25"/>
  <c r="M34" i="25"/>
  <c r="N34" i="25"/>
  <c r="I37" i="25"/>
  <c r="J37" i="25"/>
  <c r="K37" i="25"/>
  <c r="L37" i="25"/>
  <c r="M37" i="25"/>
  <c r="N37" i="25"/>
  <c r="I55" i="25"/>
  <c r="J55" i="25"/>
  <c r="K55" i="25"/>
  <c r="L55" i="25"/>
  <c r="M55" i="25"/>
  <c r="N55" i="25"/>
  <c r="I56" i="25"/>
  <c r="J56" i="25"/>
  <c r="K56" i="25"/>
  <c r="L56" i="25"/>
  <c r="M56" i="25"/>
  <c r="N56" i="25"/>
  <c r="I59" i="25"/>
  <c r="J59" i="25"/>
  <c r="K59" i="25"/>
  <c r="L59" i="25"/>
  <c r="M59" i="25"/>
  <c r="N59" i="25"/>
  <c r="I87" i="25"/>
  <c r="J87" i="25"/>
  <c r="K87" i="25"/>
  <c r="L87" i="25"/>
  <c r="M87" i="25"/>
  <c r="N87" i="25"/>
  <c r="I88" i="25"/>
  <c r="J88" i="25"/>
  <c r="K88" i="25"/>
  <c r="L88" i="25"/>
  <c r="M88" i="25"/>
  <c r="N88" i="25"/>
  <c r="I89" i="25"/>
  <c r="J89" i="25"/>
  <c r="K89" i="25"/>
  <c r="L89" i="25"/>
  <c r="M89" i="25"/>
  <c r="N89" i="25"/>
  <c r="I93" i="25"/>
  <c r="J93" i="25"/>
  <c r="K93" i="25"/>
  <c r="L93" i="25"/>
  <c r="M93" i="25"/>
  <c r="N93" i="25"/>
  <c r="I94" i="25"/>
  <c r="J94" i="25"/>
  <c r="K94" i="25"/>
  <c r="L94" i="25"/>
  <c r="M94" i="25"/>
  <c r="N94" i="25"/>
  <c r="I95" i="25"/>
  <c r="J95" i="25"/>
  <c r="K95" i="25"/>
  <c r="L95" i="25"/>
  <c r="M95" i="25"/>
  <c r="N95" i="25"/>
  <c r="I101" i="25"/>
  <c r="J101" i="25"/>
  <c r="K101" i="25"/>
  <c r="L101" i="25"/>
  <c r="M101" i="25"/>
  <c r="N101" i="25"/>
  <c r="I107" i="25"/>
  <c r="J107" i="25"/>
  <c r="K107" i="25"/>
  <c r="L107" i="25"/>
  <c r="M107" i="25"/>
  <c r="N107" i="25"/>
  <c r="I111" i="25"/>
  <c r="J111" i="25"/>
  <c r="K111" i="25"/>
  <c r="L111" i="25"/>
  <c r="M111" i="25"/>
  <c r="N111" i="25"/>
  <c r="N112" i="25"/>
  <c r="I134" i="25"/>
  <c r="J134" i="25"/>
  <c r="K134" i="25"/>
  <c r="L134" i="25"/>
  <c r="M134" i="25"/>
  <c r="N134" i="25"/>
  <c r="I143" i="25"/>
  <c r="J143" i="25"/>
  <c r="K143" i="25"/>
  <c r="L143" i="25"/>
  <c r="M143" i="25"/>
  <c r="N143" i="25"/>
  <c r="I148" i="25"/>
  <c r="J148" i="25"/>
  <c r="K148" i="25"/>
  <c r="L148" i="25"/>
  <c r="M148" i="25"/>
  <c r="N148" i="25"/>
  <c r="I150" i="25"/>
  <c r="J150" i="25"/>
  <c r="K150" i="25"/>
  <c r="L150" i="25"/>
  <c r="M150" i="25"/>
  <c r="N150" i="25"/>
  <c r="I155" i="25"/>
  <c r="J155" i="25"/>
  <c r="K155" i="25"/>
  <c r="L155" i="25"/>
  <c r="M155" i="25"/>
  <c r="N155" i="25"/>
  <c r="I156" i="25"/>
  <c r="J156" i="25"/>
  <c r="K156" i="25"/>
  <c r="L156" i="25"/>
  <c r="M156" i="25"/>
  <c r="N156" i="25"/>
  <c r="I157" i="25"/>
  <c r="J157" i="25"/>
  <c r="K157" i="25"/>
  <c r="L157" i="25"/>
  <c r="M157" i="25"/>
  <c r="N157" i="25"/>
  <c r="I160" i="25"/>
  <c r="J160" i="25"/>
  <c r="K160" i="25"/>
  <c r="L160" i="25"/>
  <c r="M160" i="25"/>
  <c r="N160" i="25"/>
  <c r="I163" i="25"/>
  <c r="J163" i="25"/>
  <c r="K163" i="25"/>
  <c r="L163" i="25"/>
  <c r="M163" i="25"/>
  <c r="N163" i="25"/>
  <c r="I166" i="25"/>
  <c r="J166" i="25"/>
  <c r="K166" i="25"/>
  <c r="L166" i="25"/>
  <c r="M166" i="25"/>
  <c r="N166" i="25"/>
  <c r="I168" i="25"/>
  <c r="J168" i="25"/>
  <c r="K168" i="25"/>
  <c r="L168" i="25"/>
  <c r="M168" i="25"/>
  <c r="N168" i="25"/>
  <c r="I173" i="25"/>
  <c r="J173" i="25"/>
  <c r="K173" i="25"/>
  <c r="L173" i="25"/>
  <c r="M173" i="25"/>
  <c r="N173" i="25"/>
  <c r="I174" i="25"/>
  <c r="J174" i="25"/>
  <c r="K174" i="25"/>
  <c r="L174" i="25"/>
  <c r="M174" i="25"/>
  <c r="N174" i="25"/>
  <c r="I175" i="25"/>
  <c r="J175" i="25"/>
  <c r="K175" i="25"/>
  <c r="L175" i="25"/>
  <c r="M175" i="25"/>
  <c r="N175" i="25"/>
  <c r="I185" i="25"/>
  <c r="I186" i="25" s="1"/>
  <c r="J185" i="25"/>
  <c r="J186" i="25" s="1"/>
  <c r="K185" i="25"/>
  <c r="K186" i="25" s="1"/>
  <c r="L185" i="25"/>
  <c r="L186" i="25" s="1"/>
  <c r="M185" i="25"/>
  <c r="M186" i="25" s="1"/>
  <c r="N185" i="25"/>
  <c r="N186" i="25" s="1"/>
  <c r="B18" i="5"/>
  <c r="C18" i="5"/>
  <c r="D18" i="5"/>
  <c r="E18" i="5"/>
  <c r="E17" i="5"/>
  <c r="D17" i="5"/>
  <c r="C17" i="5"/>
  <c r="B17" i="5"/>
  <c r="H185" i="25"/>
  <c r="H186" i="25" s="1"/>
  <c r="G185" i="25"/>
  <c r="G186" i="25" s="1"/>
  <c r="F185" i="25"/>
  <c r="F186" i="25" s="1"/>
  <c r="E185" i="25"/>
  <c r="E186" i="25" s="1"/>
  <c r="H163" i="25"/>
  <c r="G163" i="25"/>
  <c r="G148" i="25"/>
  <c r="H143" i="25"/>
  <c r="G143" i="25"/>
  <c r="F143" i="25"/>
  <c r="E142" i="25"/>
  <c r="E143" i="25" s="1"/>
  <c r="H111" i="25"/>
  <c r="G111" i="25"/>
  <c r="F111" i="25"/>
  <c r="E111" i="25"/>
  <c r="H107" i="25"/>
  <c r="G107" i="25"/>
  <c r="F107" i="25"/>
  <c r="E107" i="25"/>
  <c r="D107" i="25"/>
  <c r="H101" i="25"/>
  <c r="G101" i="25"/>
  <c r="F101" i="25"/>
  <c r="E101" i="25"/>
  <c r="H95" i="25"/>
  <c r="G95" i="25"/>
  <c r="H94" i="25"/>
  <c r="G94" i="25"/>
  <c r="F94" i="25"/>
  <c r="E94" i="25"/>
  <c r="H93" i="25"/>
  <c r="G93" i="25"/>
  <c r="H89" i="25"/>
  <c r="G89" i="25"/>
  <c r="F89" i="25"/>
  <c r="E89" i="25"/>
  <c r="H88" i="25"/>
  <c r="G88" i="25"/>
  <c r="F88" i="25"/>
  <c r="E88" i="25"/>
  <c r="H87" i="25"/>
  <c r="G87" i="25"/>
  <c r="F87" i="25"/>
  <c r="E87" i="25"/>
  <c r="H59" i="25"/>
  <c r="G59" i="25"/>
  <c r="F59" i="25"/>
  <c r="E59" i="25"/>
  <c r="H37" i="25"/>
  <c r="G37" i="25"/>
  <c r="H34" i="25"/>
  <c r="G34" i="25"/>
  <c r="F34" i="25"/>
  <c r="E34" i="25"/>
  <c r="F28" i="25"/>
  <c r="E28" i="25"/>
  <c r="F24" i="25"/>
  <c r="E24" i="25"/>
  <c r="F23" i="25"/>
  <c r="E23" i="25"/>
  <c r="F22" i="25"/>
  <c r="E22" i="25"/>
  <c r="H57" i="25"/>
  <c r="H44" i="25"/>
  <c r="H48" i="25" s="1"/>
  <c r="G44" i="25"/>
  <c r="G48" i="25" s="1"/>
  <c r="G58" i="6"/>
  <c r="H58" i="6"/>
  <c r="I58" i="6"/>
  <c r="G59" i="6"/>
  <c r="H59" i="6"/>
  <c r="I59" i="6"/>
  <c r="D57" i="6"/>
  <c r="M100" i="25" l="1"/>
  <c r="M128" i="25"/>
  <c r="M114" i="25"/>
  <c r="M181" i="25"/>
  <c r="M189" i="25" s="1"/>
  <c r="I176" i="25"/>
  <c r="N181" i="25"/>
  <c r="N189" i="25" s="1"/>
  <c r="M180" i="25"/>
  <c r="M188" i="25" s="1"/>
  <c r="N180" i="25"/>
  <c r="N188" i="25" s="1"/>
  <c r="N176" i="25"/>
  <c r="J181" i="25"/>
  <c r="J189" i="25" s="1"/>
  <c r="M176" i="25"/>
  <c r="L180" i="25"/>
  <c r="L188" i="25" s="1"/>
  <c r="K180" i="25"/>
  <c r="K188" i="25" s="1"/>
  <c r="M96" i="25"/>
  <c r="L176" i="25"/>
  <c r="K176" i="25"/>
  <c r="I180" i="25"/>
  <c r="I188" i="25" s="1"/>
  <c r="L181" i="25"/>
  <c r="L189" i="25" s="1"/>
  <c r="K181" i="25"/>
  <c r="K189" i="25" s="1"/>
  <c r="J176" i="25"/>
  <c r="J180" i="25"/>
  <c r="J188" i="25" s="1"/>
  <c r="M112" i="25"/>
  <c r="J161" i="25"/>
  <c r="J52" i="25"/>
  <c r="J51" i="25"/>
  <c r="M44" i="25"/>
  <c r="M48" i="25" s="1"/>
  <c r="M161" i="25"/>
  <c r="I161" i="25"/>
  <c r="I44" i="25"/>
  <c r="I48" i="25" s="1"/>
  <c r="K161" i="25"/>
  <c r="M32" i="25"/>
  <c r="M42" i="25" s="1"/>
  <c r="M106" i="25"/>
  <c r="M61" i="25"/>
  <c r="M165" i="25"/>
  <c r="K114" i="25"/>
  <c r="K112" i="25"/>
  <c r="J112" i="25"/>
  <c r="I112" i="25"/>
  <c r="I106" i="25"/>
  <c r="K164" i="25"/>
  <c r="I164" i="25"/>
  <c r="I128" i="25"/>
  <c r="K106" i="25"/>
  <c r="K57" i="25"/>
  <c r="K58" i="25" s="1"/>
  <c r="E32" i="25"/>
  <c r="E42" i="25" s="1"/>
  <c r="K128" i="25"/>
  <c r="K44" i="25"/>
  <c r="K45" i="25" s="1"/>
  <c r="I32" i="25"/>
  <c r="I35" i="25" s="1"/>
  <c r="I100" i="25"/>
  <c r="N44" i="25"/>
  <c r="N48" i="25" s="1"/>
  <c r="L114" i="25"/>
  <c r="L44" i="25"/>
  <c r="L48" i="25" s="1"/>
  <c r="I96" i="25"/>
  <c r="L57" i="25"/>
  <c r="L58" i="25" s="1"/>
  <c r="N161" i="25"/>
  <c r="J96" i="25"/>
  <c r="N96" i="25"/>
  <c r="L39" i="25"/>
  <c r="L164" i="25"/>
  <c r="K39" i="25"/>
  <c r="K32" i="25"/>
  <c r="K42" i="25" s="1"/>
  <c r="F32" i="25"/>
  <c r="F42" i="25" s="1"/>
  <c r="N51" i="25"/>
  <c r="L100" i="25"/>
  <c r="L61" i="25"/>
  <c r="M51" i="25"/>
  <c r="L112" i="25"/>
  <c r="L128" i="25"/>
  <c r="K100" i="25"/>
  <c r="J45" i="25"/>
  <c r="I181" i="25"/>
  <c r="I189" i="25" s="1"/>
  <c r="M164" i="25"/>
  <c r="L161" i="25"/>
  <c r="I61" i="25"/>
  <c r="M39" i="25"/>
  <c r="L52" i="25"/>
  <c r="K96" i="25"/>
  <c r="K52" i="25"/>
  <c r="I39" i="25"/>
  <c r="I52" i="25"/>
  <c r="I114" i="25"/>
  <c r="I58" i="25"/>
  <c r="M58" i="25"/>
  <c r="N32" i="25"/>
  <c r="N39" i="25"/>
  <c r="N57" i="25"/>
  <c r="N58" i="25" s="1"/>
  <c r="N100" i="25"/>
  <c r="N106" i="25"/>
  <c r="N114" i="25"/>
  <c r="N128" i="25"/>
  <c r="N164" i="25"/>
  <c r="J32" i="25"/>
  <c r="J39" i="25"/>
  <c r="J57" i="25"/>
  <c r="J58" i="25" s="1"/>
  <c r="J100" i="25"/>
  <c r="J106" i="25"/>
  <c r="J114" i="25"/>
  <c r="J128" i="25"/>
  <c r="J164" i="25"/>
  <c r="L32" i="25"/>
  <c r="L96" i="25"/>
  <c r="F57" i="25"/>
  <c r="G32" i="25"/>
  <c r="G35" i="25" s="1"/>
  <c r="H96" i="25"/>
  <c r="F96" i="25"/>
  <c r="G57" i="25"/>
  <c r="G96" i="25"/>
  <c r="H148" i="25"/>
  <c r="H45" i="25"/>
  <c r="E51" i="25"/>
  <c r="E100" i="25"/>
  <c r="F51" i="25"/>
  <c r="E106" i="25"/>
  <c r="F100" i="25"/>
  <c r="F106" i="25"/>
  <c r="F39" i="25"/>
  <c r="G45" i="25"/>
  <c r="G51" i="25"/>
  <c r="G52" i="25"/>
  <c r="H106" i="25"/>
  <c r="H100" i="25"/>
  <c r="E52" i="25"/>
  <c r="F45" i="25"/>
  <c r="F48" i="25" s="1"/>
  <c r="F52" i="25"/>
  <c r="G106" i="25"/>
  <c r="H32" i="25"/>
  <c r="G39" i="25"/>
  <c r="E44" i="25"/>
  <c r="E48" i="25" s="1"/>
  <c r="H51" i="25"/>
  <c r="H52" i="25"/>
  <c r="E57" i="25"/>
  <c r="E96" i="25"/>
  <c r="G100" i="25"/>
  <c r="F112" i="25" l="1"/>
  <c r="E39" i="25"/>
  <c r="I45" i="25"/>
  <c r="I46" i="25" s="1"/>
  <c r="I53" i="25" s="1"/>
  <c r="M45" i="25"/>
  <c r="M35" i="25"/>
  <c r="M49" i="25" s="1"/>
  <c r="M91" i="25"/>
  <c r="L45" i="25"/>
  <c r="I42" i="25"/>
  <c r="I49" i="25"/>
  <c r="E35" i="25"/>
  <c r="N45" i="25"/>
  <c r="I91" i="25"/>
  <c r="K48" i="25"/>
  <c r="F35" i="25"/>
  <c r="F46" i="25" s="1"/>
  <c r="E112" i="25"/>
  <c r="K35" i="25"/>
  <c r="K46" i="25" s="1"/>
  <c r="K53" i="25" s="1"/>
  <c r="K91" i="25"/>
  <c r="G42" i="25"/>
  <c r="N35" i="25"/>
  <c r="N42" i="25"/>
  <c r="N91" i="25"/>
  <c r="L42" i="25"/>
  <c r="L35" i="25"/>
  <c r="J35" i="25"/>
  <c r="J49" i="25" s="1"/>
  <c r="J42" i="25"/>
  <c r="J91" i="25"/>
  <c r="L91" i="25"/>
  <c r="G91" i="25"/>
  <c r="G112" i="25" s="1"/>
  <c r="G49" i="25"/>
  <c r="G46" i="25"/>
  <c r="G53" i="25" s="1"/>
  <c r="H91" i="25"/>
  <c r="H112" i="25" s="1"/>
  <c r="E29" i="25"/>
  <c r="F29" i="25"/>
  <c r="F18" i="5" s="1"/>
  <c r="H42" i="25"/>
  <c r="H35" i="25"/>
  <c r="E45" i="25"/>
  <c r="H39" i="25"/>
  <c r="E142" i="24"/>
  <c r="E49" i="25" l="1"/>
  <c r="G55" i="25"/>
  <c r="F17" i="5"/>
  <c r="N46" i="25"/>
  <c r="N53" i="25" s="1"/>
  <c r="M46" i="25"/>
  <c r="M53" i="25" s="1"/>
  <c r="E46" i="25"/>
  <c r="E53" i="25" s="1"/>
  <c r="E56" i="25" s="1"/>
  <c r="F49" i="25"/>
  <c r="F55" i="25" s="1"/>
  <c r="J46" i="25"/>
  <c r="J53" i="25" s="1"/>
  <c r="K49" i="25"/>
  <c r="N49" i="25"/>
  <c r="L49" i="25"/>
  <c r="L46" i="25"/>
  <c r="L53" i="25" s="1"/>
  <c r="H46" i="25"/>
  <c r="H53" i="25" s="1"/>
  <c r="F53" i="25"/>
  <c r="H49" i="25"/>
  <c r="H55" i="25" l="1"/>
  <c r="F56" i="25"/>
  <c r="F58" i="25" s="1"/>
  <c r="F61" i="25" s="1"/>
  <c r="E55" i="25"/>
  <c r="E58" i="25" s="1"/>
  <c r="E61" i="25" s="1"/>
  <c r="G56" i="25"/>
  <c r="K34" i="8"/>
  <c r="P34" i="8"/>
  <c r="L34" i="8"/>
  <c r="M34" i="8"/>
  <c r="N34" i="8"/>
  <c r="O34" i="8"/>
  <c r="K35" i="8"/>
  <c r="P35" i="8"/>
  <c r="F6" i="8"/>
  <c r="H56" i="25" l="1"/>
  <c r="H58" i="25" s="1"/>
  <c r="H61" i="25" s="1"/>
  <c r="G58" i="25"/>
  <c r="G61" i="25" s="1"/>
  <c r="H48" i="6"/>
  <c r="G48" i="6"/>
  <c r="I48" i="6"/>
  <c r="G27" i="24"/>
  <c r="H128" i="25" l="1"/>
  <c r="G128" i="25"/>
  <c r="F163" i="24"/>
  <c r="G163" i="24"/>
  <c r="H163" i="24"/>
  <c r="E163" i="24"/>
  <c r="G150" i="25" l="1"/>
  <c r="G180" i="25" l="1"/>
  <c r="Q147" i="8"/>
  <c r="Q141" i="8"/>
  <c r="Q90" i="8"/>
  <c r="Q86" i="8"/>
  <c r="Q82" i="8"/>
  <c r="Q68" i="8"/>
  <c r="Q64" i="8"/>
  <c r="Q46" i="8"/>
  <c r="Q42" i="8"/>
  <c r="Q92" i="8"/>
  <c r="Q84" i="8"/>
  <c r="Q48" i="8"/>
  <c r="Q40" i="8"/>
  <c r="Q105" i="8"/>
  <c r="Q91" i="8"/>
  <c r="Q83" i="8"/>
  <c r="Q69" i="8"/>
  <c r="Q47" i="8"/>
  <c r="Q39" i="8"/>
  <c r="D72" i="25" s="1"/>
  <c r="Q140" i="8"/>
  <c r="Q85" i="8"/>
  <c r="Q77" i="8"/>
  <c r="Q67" i="8"/>
  <c r="Q41" i="8"/>
  <c r="Q106" i="8"/>
  <c r="Q88" i="8"/>
  <c r="Q66" i="8"/>
  <c r="Q44" i="8"/>
  <c r="D77" i="25" s="1"/>
  <c r="Q87" i="8"/>
  <c r="Q65" i="8"/>
  <c r="Q43" i="8"/>
  <c r="D76" i="25" s="1"/>
  <c r="Z72" i="25" l="1"/>
  <c r="AC72" i="25"/>
  <c r="AD72" i="25"/>
  <c r="Q72" i="25"/>
  <c r="R72" i="25"/>
  <c r="U72" i="25"/>
  <c r="X72" i="25"/>
  <c r="Y72" i="25"/>
  <c r="P72" i="25"/>
  <c r="O72" i="25"/>
  <c r="AB72" i="25"/>
  <c r="S72" i="25"/>
  <c r="T72" i="25"/>
  <c r="AA72" i="25"/>
  <c r="W72" i="25"/>
  <c r="V72" i="25"/>
  <c r="U77" i="25"/>
  <c r="V77" i="25"/>
  <c r="X77" i="25"/>
  <c r="Y77" i="25"/>
  <c r="Z77" i="25"/>
  <c r="AB77" i="25"/>
  <c r="AC77" i="25"/>
  <c r="AD77" i="25"/>
  <c r="Q77" i="25"/>
  <c r="R77" i="25"/>
  <c r="T77" i="25"/>
  <c r="S77" i="25"/>
  <c r="AA77" i="25"/>
  <c r="W77" i="25"/>
  <c r="P77" i="25"/>
  <c r="O77" i="25"/>
  <c r="R76" i="25"/>
  <c r="U76" i="25"/>
  <c r="V76" i="25"/>
  <c r="W76" i="25"/>
  <c r="Y76" i="25"/>
  <c r="Z76" i="25"/>
  <c r="AD76" i="25"/>
  <c r="P76" i="25"/>
  <c r="AA76" i="25"/>
  <c r="X76" i="25"/>
  <c r="S76" i="25"/>
  <c r="T76" i="25"/>
  <c r="AB76" i="25"/>
  <c r="AC76" i="25"/>
  <c r="Q76" i="25"/>
  <c r="O76" i="25"/>
  <c r="P73" i="25"/>
  <c r="Q73" i="25"/>
  <c r="Z73" i="25"/>
  <c r="R73" i="25"/>
  <c r="T73" i="25"/>
  <c r="U73" i="25"/>
  <c r="V73" i="25"/>
  <c r="Y73" i="25"/>
  <c r="AD73" i="25"/>
  <c r="W73" i="25"/>
  <c r="AB73" i="25"/>
  <c r="X73" i="25"/>
  <c r="AC73" i="25"/>
  <c r="AA73" i="25"/>
  <c r="S73" i="25"/>
  <c r="O73" i="25"/>
  <c r="P74" i="25"/>
  <c r="U74" i="25"/>
  <c r="V74" i="25"/>
  <c r="X74" i="25"/>
  <c r="Y74" i="25"/>
  <c r="AB74" i="25"/>
  <c r="AC74" i="25"/>
  <c r="W74" i="25"/>
  <c r="T74" i="25"/>
  <c r="Q74" i="25"/>
  <c r="Z74" i="25"/>
  <c r="AA74" i="25"/>
  <c r="S74" i="25"/>
  <c r="AD74" i="25"/>
  <c r="O74" i="25"/>
  <c r="R74" i="25"/>
  <c r="Z75" i="25"/>
  <c r="AB75" i="25"/>
  <c r="AD75" i="25"/>
  <c r="W75" i="25"/>
  <c r="R75" i="25"/>
  <c r="S75" i="25"/>
  <c r="U75" i="25"/>
  <c r="X75" i="25"/>
  <c r="T75" i="25"/>
  <c r="O75" i="25"/>
  <c r="V75" i="25"/>
  <c r="Y75" i="25"/>
  <c r="AA75" i="25"/>
  <c r="AC75" i="25"/>
  <c r="Q75" i="25"/>
  <c r="P75" i="25"/>
  <c r="J75" i="25"/>
  <c r="N75" i="25"/>
  <c r="K75" i="25"/>
  <c r="L75" i="25"/>
  <c r="I75" i="25"/>
  <c r="M75" i="25"/>
  <c r="F75" i="25"/>
  <c r="E75" i="25"/>
  <c r="H75" i="25"/>
  <c r="G75" i="25"/>
  <c r="J73" i="25"/>
  <c r="N73" i="25"/>
  <c r="K73" i="25"/>
  <c r="L73" i="25"/>
  <c r="I73" i="25"/>
  <c r="M73" i="25"/>
  <c r="F73" i="25"/>
  <c r="E73" i="25"/>
  <c r="H73" i="25"/>
  <c r="G73" i="25"/>
  <c r="J77" i="25"/>
  <c r="N77" i="25"/>
  <c r="K77" i="25"/>
  <c r="L77" i="25"/>
  <c r="I77" i="25"/>
  <c r="M77" i="25"/>
  <c r="E77" i="25"/>
  <c r="F77" i="25"/>
  <c r="H77" i="25"/>
  <c r="G77" i="25"/>
  <c r="K72" i="25"/>
  <c r="L72" i="25"/>
  <c r="I72" i="25"/>
  <c r="J72" i="25"/>
  <c r="N72" i="25"/>
  <c r="M72" i="25"/>
  <c r="F72" i="25"/>
  <c r="E72" i="25"/>
  <c r="H72" i="25"/>
  <c r="G72" i="25"/>
  <c r="K74" i="25"/>
  <c r="L74" i="25"/>
  <c r="N74" i="25"/>
  <c r="M74" i="25"/>
  <c r="J74" i="25"/>
  <c r="I74" i="25"/>
  <c r="E74" i="25"/>
  <c r="F74" i="25"/>
  <c r="H74" i="25"/>
  <c r="G74" i="25"/>
  <c r="K76" i="25"/>
  <c r="L76" i="25"/>
  <c r="J76" i="25"/>
  <c r="I76" i="25"/>
  <c r="M76" i="25"/>
  <c r="N76" i="25"/>
  <c r="E76" i="25"/>
  <c r="F76" i="25"/>
  <c r="H76" i="25"/>
  <c r="G76" i="25"/>
  <c r="H150" i="25"/>
  <c r="H180" i="25" s="1"/>
  <c r="G188" i="25"/>
  <c r="F84" i="6"/>
  <c r="G84" i="6"/>
  <c r="H84" i="6"/>
  <c r="I84" i="6"/>
  <c r="H188" i="25" l="1"/>
  <c r="E41" i="6"/>
  <c r="E42" i="6" s="1"/>
  <c r="G88" i="6"/>
  <c r="H88" i="6"/>
  <c r="I88" i="6"/>
  <c r="G90" i="6"/>
  <c r="H90" i="6"/>
  <c r="I90" i="6"/>
  <c r="G93" i="6"/>
  <c r="H93" i="6"/>
  <c r="I93" i="6"/>
  <c r="G94" i="6"/>
  <c r="H94" i="6"/>
  <c r="I94" i="6"/>
  <c r="G95" i="6"/>
  <c r="H95" i="6"/>
  <c r="I95" i="6"/>
  <c r="G96" i="6"/>
  <c r="H96" i="6"/>
  <c r="I96" i="6"/>
  <c r="G53" i="6"/>
  <c r="H53" i="6"/>
  <c r="I53" i="6"/>
  <c r="G54" i="6"/>
  <c r="H54" i="6"/>
  <c r="I54" i="6"/>
  <c r="F12" i="6"/>
  <c r="G12" i="6"/>
  <c r="H12" i="6"/>
  <c r="I12" i="6"/>
  <c r="F17" i="6"/>
  <c r="G17" i="6"/>
  <c r="H17" i="6"/>
  <c r="I17" i="6"/>
  <c r="F26" i="6"/>
  <c r="G26" i="6"/>
  <c r="H26" i="6"/>
  <c r="I26" i="6"/>
  <c r="F32" i="6"/>
  <c r="G32" i="6"/>
  <c r="H32" i="6"/>
  <c r="I32" i="6"/>
  <c r="G33" i="6"/>
  <c r="H33" i="6"/>
  <c r="I33" i="6"/>
  <c r="E26" i="6"/>
  <c r="E12" i="6"/>
  <c r="F185" i="24"/>
  <c r="F186" i="24" s="1"/>
  <c r="G185" i="24"/>
  <c r="G186" i="24" s="1"/>
  <c r="H185" i="24"/>
  <c r="H186" i="24" s="1"/>
  <c r="E185" i="24"/>
  <c r="E186" i="24" s="1"/>
  <c r="F87" i="24"/>
  <c r="G87" i="24"/>
  <c r="H87" i="24"/>
  <c r="F88" i="24"/>
  <c r="G88" i="24"/>
  <c r="H88" i="24"/>
  <c r="F89" i="24"/>
  <c r="G89" i="24"/>
  <c r="H89" i="24"/>
  <c r="F94" i="24"/>
  <c r="G94" i="24"/>
  <c r="H94" i="24"/>
  <c r="F95" i="24"/>
  <c r="G95" i="24"/>
  <c r="H95" i="24"/>
  <c r="F101" i="24"/>
  <c r="G101" i="24"/>
  <c r="H101" i="24"/>
  <c r="F107" i="24"/>
  <c r="G107" i="24"/>
  <c r="H107" i="24"/>
  <c r="F111" i="24"/>
  <c r="G111" i="24"/>
  <c r="H111" i="24"/>
  <c r="F143" i="24"/>
  <c r="G143" i="24"/>
  <c r="H143" i="24"/>
  <c r="H59" i="24"/>
  <c r="G59" i="24"/>
  <c r="F59" i="24"/>
  <c r="H37" i="24"/>
  <c r="G37" i="24"/>
  <c r="F37" i="24"/>
  <c r="H34" i="24"/>
  <c r="G34" i="24"/>
  <c r="F34" i="24"/>
  <c r="F43" i="6" l="1"/>
  <c r="F48" i="6" s="1"/>
  <c r="F58" i="6"/>
  <c r="F53" i="6"/>
  <c r="F33" i="6"/>
  <c r="I4" i="1" l="1"/>
  <c r="I3" i="1"/>
  <c r="K202" i="24" l="1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196" i="24"/>
  <c r="K197" i="24"/>
  <c r="K198" i="24"/>
  <c r="K199" i="24"/>
  <c r="K200" i="24"/>
  <c r="K201" i="24"/>
  <c r="K195" i="24"/>
  <c r="E27" i="24" l="1"/>
  <c r="I185" i="24"/>
  <c r="I186" i="24" s="1"/>
  <c r="I175" i="24"/>
  <c r="I174" i="24"/>
  <c r="I173" i="24"/>
  <c r="H11" i="1" l="1"/>
  <c r="H9" i="1"/>
  <c r="H8" i="1"/>
  <c r="F28" i="24"/>
  <c r="G28" i="24"/>
  <c r="H28" i="24"/>
  <c r="E28" i="24"/>
  <c r="F93" i="24" l="1"/>
  <c r="F96" i="24" s="1"/>
  <c r="G93" i="24"/>
  <c r="G96" i="24" s="1"/>
  <c r="H93" i="24"/>
  <c r="H96" i="24" s="1"/>
  <c r="J35" i="8" l="1"/>
  <c r="J34" i="8"/>
  <c r="D51" i="6" l="1"/>
  <c r="F54" i="6" s="1"/>
  <c r="F59" i="6" s="1"/>
  <c r="E47" i="6" l="1"/>
  <c r="I149" i="24" l="1"/>
  <c r="I17" i="24" l="1"/>
  <c r="I19" i="24"/>
  <c r="I20" i="24"/>
  <c r="I21" i="24"/>
  <c r="I22" i="24"/>
  <c r="I23" i="24"/>
  <c r="I24" i="24"/>
  <c r="G77" i="6" l="1"/>
  <c r="H77" i="6"/>
  <c r="I77" i="6"/>
  <c r="G75" i="6"/>
  <c r="H75" i="6"/>
  <c r="I75" i="6"/>
  <c r="I89" i="6" l="1"/>
  <c r="H89" i="6"/>
  <c r="G89" i="6"/>
  <c r="H82" i="6" l="1"/>
  <c r="G82" i="6"/>
  <c r="I82" i="6"/>
  <c r="E19" i="5"/>
  <c r="L26" i="3" l="1"/>
  <c r="I26" i="3"/>
  <c r="H26" i="3"/>
  <c r="J26" i="3"/>
  <c r="G148" i="24" s="1"/>
  <c r="K26" i="3"/>
  <c r="H148" i="24" s="1"/>
  <c r="F148" i="24" l="1"/>
  <c r="F148" i="25"/>
  <c r="F150" i="25" s="1"/>
  <c r="F180" i="25" s="1"/>
  <c r="F188" i="25" s="1"/>
  <c r="E148" i="24"/>
  <c r="E148" i="25"/>
  <c r="H75" i="8"/>
  <c r="D6" i="8"/>
  <c r="E19" i="24" l="1"/>
  <c r="F19" i="24"/>
  <c r="G19" i="24"/>
  <c r="G44" i="24" l="1"/>
  <c r="G48" i="24" s="1"/>
  <c r="G52" i="24"/>
  <c r="G51" i="24"/>
  <c r="F44" i="24"/>
  <c r="F48" i="24" s="1"/>
  <c r="F51" i="24"/>
  <c r="F52" i="24"/>
  <c r="E52" i="24"/>
  <c r="E51" i="24"/>
  <c r="G45" i="24"/>
  <c r="I148" i="24"/>
  <c r="E20" i="16"/>
  <c r="E21" i="16"/>
  <c r="E22" i="16"/>
  <c r="E23" i="16"/>
  <c r="E24" i="16"/>
  <c r="E25" i="16"/>
  <c r="E26" i="16"/>
  <c r="E27" i="16"/>
  <c r="E28" i="16"/>
  <c r="E29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" i="16"/>
  <c r="F45" i="24" l="1"/>
  <c r="I163" i="24"/>
  <c r="I150" i="24"/>
  <c r="I142" i="24"/>
  <c r="I143" i="24" s="1"/>
  <c r="E143" i="24"/>
  <c r="I111" i="24"/>
  <c r="E111" i="24"/>
  <c r="I107" i="24"/>
  <c r="E107" i="24"/>
  <c r="D107" i="24"/>
  <c r="I101" i="24"/>
  <c r="E101" i="24"/>
  <c r="I95" i="24"/>
  <c r="E95" i="24"/>
  <c r="I94" i="24"/>
  <c r="E94" i="24"/>
  <c r="I93" i="24"/>
  <c r="I90" i="24"/>
  <c r="I89" i="24"/>
  <c r="E89" i="24"/>
  <c r="I88" i="24"/>
  <c r="E88" i="24"/>
  <c r="I87" i="24"/>
  <c r="E87" i="24"/>
  <c r="I59" i="24"/>
  <c r="E59" i="24"/>
  <c r="E44" i="24"/>
  <c r="E48" i="24" s="1"/>
  <c r="I38" i="24"/>
  <c r="I37" i="24"/>
  <c r="E37" i="24"/>
  <c r="I34" i="24"/>
  <c r="E34" i="24"/>
  <c r="I29" i="24"/>
  <c r="I28" i="24"/>
  <c r="H24" i="24"/>
  <c r="G24" i="24"/>
  <c r="F24" i="24"/>
  <c r="E24" i="24"/>
  <c r="H23" i="24"/>
  <c r="G23" i="24"/>
  <c r="F23" i="24"/>
  <c r="E23" i="24"/>
  <c r="H22" i="24"/>
  <c r="G22" i="24"/>
  <c r="F22" i="24"/>
  <c r="E22" i="24"/>
  <c r="H21" i="24"/>
  <c r="G21" i="24"/>
  <c r="F21" i="24"/>
  <c r="E21" i="24"/>
  <c r="H20" i="24"/>
  <c r="G20" i="24"/>
  <c r="F20" i="24"/>
  <c r="E20" i="24"/>
  <c r="I44" i="24"/>
  <c r="I48" i="24" s="1"/>
  <c r="H19" i="24"/>
  <c r="A2" i="24"/>
  <c r="H44" i="24" l="1"/>
  <c r="H48" i="24" s="1"/>
  <c r="H51" i="24"/>
  <c r="H52" i="24"/>
  <c r="H32" i="24"/>
  <c r="H39" i="24" s="1"/>
  <c r="H100" i="24"/>
  <c r="H106" i="24"/>
  <c r="H57" i="24"/>
  <c r="E100" i="24"/>
  <c r="E106" i="24"/>
  <c r="E32" i="24"/>
  <c r="E91" i="24" s="1"/>
  <c r="E57" i="24"/>
  <c r="F100" i="24"/>
  <c r="F106" i="24"/>
  <c r="F32" i="24"/>
  <c r="F57" i="24"/>
  <c r="G100" i="24"/>
  <c r="G32" i="24"/>
  <c r="G106" i="24"/>
  <c r="G57" i="24"/>
  <c r="I180" i="24"/>
  <c r="I188" i="24" s="1"/>
  <c r="I176" i="24"/>
  <c r="I32" i="24"/>
  <c r="I91" i="24" s="1"/>
  <c r="I112" i="24" s="1"/>
  <c r="I57" i="24"/>
  <c r="I96" i="24"/>
  <c r="I100" i="24"/>
  <c r="I106" i="24"/>
  <c r="E45" i="24"/>
  <c r="I45" i="24"/>
  <c r="H45" i="24" l="1"/>
  <c r="E39" i="24"/>
  <c r="G39" i="24"/>
  <c r="F39" i="24"/>
  <c r="F91" i="24"/>
  <c r="F112" i="24" s="1"/>
  <c r="F35" i="24"/>
  <c r="F42" i="24"/>
  <c r="G42" i="24"/>
  <c r="G35" i="24"/>
  <c r="G91" i="24"/>
  <c r="G112" i="24" s="1"/>
  <c r="E35" i="24"/>
  <c r="E42" i="24"/>
  <c r="H35" i="24"/>
  <c r="H49" i="24" s="1"/>
  <c r="H91" i="24"/>
  <c r="H112" i="24" s="1"/>
  <c r="H42" i="24"/>
  <c r="I39" i="24"/>
  <c r="I35" i="24"/>
  <c r="I42" i="24"/>
  <c r="E46" i="24" l="1"/>
  <c r="E53" i="24" s="1"/>
  <c r="E56" i="24" s="1"/>
  <c r="G49" i="24"/>
  <c r="F46" i="24"/>
  <c r="G46" i="24"/>
  <c r="F49" i="24"/>
  <c r="E49" i="24"/>
  <c r="H46" i="24"/>
  <c r="H53" i="24" s="1"/>
  <c r="I49" i="24"/>
  <c r="I46" i="24"/>
  <c r="E55" i="24" l="1"/>
  <c r="G55" i="24"/>
  <c r="F55" i="24"/>
  <c r="H55" i="24"/>
  <c r="F53" i="24"/>
  <c r="F56" i="24" s="1"/>
  <c r="G53" i="24"/>
  <c r="I53" i="24"/>
  <c r="I56" i="24" s="1"/>
  <c r="I55" i="24"/>
  <c r="F58" i="24" l="1"/>
  <c r="F61" i="24" s="1"/>
  <c r="G56" i="24"/>
  <c r="H56" i="24" s="1"/>
  <c r="H58" i="24" s="1"/>
  <c r="H61" i="24" s="1"/>
  <c r="I58" i="24"/>
  <c r="I61" i="24" s="1"/>
  <c r="G58" i="24" l="1"/>
  <c r="G61" i="24" s="1"/>
  <c r="I128" i="24"/>
  <c r="G34" i="6" l="1"/>
  <c r="G85" i="6" s="1"/>
  <c r="H34" i="6"/>
  <c r="H85" i="6" s="1"/>
  <c r="I34" i="6"/>
  <c r="I85" i="6" s="1"/>
  <c r="F34" i="6" l="1"/>
  <c r="F88" i="6" s="1"/>
  <c r="F93" i="6" l="1"/>
  <c r="E17" i="6" l="1"/>
  <c r="C45" i="8" l="1"/>
  <c r="I106" i="8"/>
  <c r="I105" i="8"/>
  <c r="H102" i="8"/>
  <c r="H101" i="8"/>
  <c r="H100" i="8"/>
  <c r="H99" i="8"/>
  <c r="I83" i="8"/>
  <c r="I84" i="8"/>
  <c r="I85" i="8"/>
  <c r="I86" i="8"/>
  <c r="I87" i="8"/>
  <c r="I88" i="8"/>
  <c r="I90" i="8"/>
  <c r="I91" i="8"/>
  <c r="I92" i="8"/>
  <c r="I82" i="8"/>
  <c r="H94" i="8"/>
  <c r="H93" i="8"/>
  <c r="H89" i="8"/>
  <c r="Q89" i="8" s="1"/>
  <c r="I77" i="8"/>
  <c r="H73" i="8"/>
  <c r="H72" i="8"/>
  <c r="I69" i="8"/>
  <c r="I68" i="8"/>
  <c r="I67" i="8"/>
  <c r="I66" i="8"/>
  <c r="I65" i="8"/>
  <c r="I64" i="8"/>
  <c r="H45" i="8"/>
  <c r="Q45" i="8" s="1"/>
  <c r="D135" i="25" l="1"/>
  <c r="D65" i="6"/>
  <c r="K85" i="8"/>
  <c r="L85" i="8" s="1"/>
  <c r="M85" i="8" s="1"/>
  <c r="N85" i="8" s="1"/>
  <c r="O85" i="8" s="1"/>
  <c r="P85" i="8" s="1"/>
  <c r="J85" i="8"/>
  <c r="I99" i="8"/>
  <c r="Q99" i="8"/>
  <c r="D129" i="25" s="1"/>
  <c r="I73" i="8"/>
  <c r="Q73" i="8"/>
  <c r="K77" i="8"/>
  <c r="L77" i="8" s="1"/>
  <c r="M77" i="8" s="1"/>
  <c r="N77" i="8" s="1"/>
  <c r="O77" i="8" s="1"/>
  <c r="P77" i="8" s="1"/>
  <c r="J77" i="8"/>
  <c r="I100" i="8"/>
  <c r="Q100" i="8"/>
  <c r="D130" i="25" s="1"/>
  <c r="K83" i="8"/>
  <c r="L83" i="8" s="1"/>
  <c r="M83" i="8" s="1"/>
  <c r="N83" i="8" s="1"/>
  <c r="O83" i="8" s="1"/>
  <c r="P83" i="8" s="1"/>
  <c r="J83" i="8"/>
  <c r="I94" i="8"/>
  <c r="Q94" i="8"/>
  <c r="I101" i="8"/>
  <c r="Q101" i="8"/>
  <c r="D131" i="25" s="1"/>
  <c r="K86" i="8"/>
  <c r="L86" i="8" s="1"/>
  <c r="M86" i="8" s="1"/>
  <c r="N86" i="8" s="1"/>
  <c r="O86" i="8" s="1"/>
  <c r="P86" i="8" s="1"/>
  <c r="J86" i="8"/>
  <c r="I98" i="8"/>
  <c r="Q98" i="8"/>
  <c r="K65" i="8"/>
  <c r="L65" i="8" s="1"/>
  <c r="M65" i="8" s="1"/>
  <c r="N65" i="8" s="1"/>
  <c r="O65" i="8" s="1"/>
  <c r="P65" i="8" s="1"/>
  <c r="J65" i="8"/>
  <c r="K67" i="8"/>
  <c r="L67" i="8" s="1"/>
  <c r="M67" i="8" s="1"/>
  <c r="N67" i="8" s="1"/>
  <c r="O67" i="8" s="1"/>
  <c r="P67" i="8" s="1"/>
  <c r="J67" i="8"/>
  <c r="K91" i="8"/>
  <c r="L91" i="8" s="1"/>
  <c r="M91" i="8" s="1"/>
  <c r="N91" i="8" s="1"/>
  <c r="O91" i="8" s="1"/>
  <c r="P91" i="8" s="1"/>
  <c r="J91" i="8"/>
  <c r="I102" i="8"/>
  <c r="Q102" i="8"/>
  <c r="D132" i="25" s="1"/>
  <c r="I75" i="8"/>
  <c r="Q75" i="8"/>
  <c r="K84" i="8"/>
  <c r="L84" i="8" s="1"/>
  <c r="M84" i="8" s="1"/>
  <c r="N84" i="8" s="1"/>
  <c r="O84" i="8" s="1"/>
  <c r="P84" i="8" s="1"/>
  <c r="J84" i="8"/>
  <c r="I93" i="8"/>
  <c r="Q93" i="8"/>
  <c r="K82" i="8"/>
  <c r="L82" i="8" s="1"/>
  <c r="M82" i="8" s="1"/>
  <c r="N82" i="8" s="1"/>
  <c r="O82" i="8" s="1"/>
  <c r="P82" i="8" s="1"/>
  <c r="J82" i="8"/>
  <c r="K66" i="8"/>
  <c r="L66" i="8" s="1"/>
  <c r="M66" i="8" s="1"/>
  <c r="N66" i="8" s="1"/>
  <c r="O66" i="8" s="1"/>
  <c r="P66" i="8" s="1"/>
  <c r="J66" i="8"/>
  <c r="K90" i="8"/>
  <c r="L90" i="8" s="1"/>
  <c r="M90" i="8" s="1"/>
  <c r="N90" i="8" s="1"/>
  <c r="O90" i="8" s="1"/>
  <c r="P90" i="8" s="1"/>
  <c r="J90" i="8"/>
  <c r="K105" i="8"/>
  <c r="L105" i="8" s="1"/>
  <c r="M105" i="8" s="1"/>
  <c r="N105" i="8" s="1"/>
  <c r="O105" i="8" s="1"/>
  <c r="P105" i="8" s="1"/>
  <c r="J105" i="8"/>
  <c r="K64" i="8"/>
  <c r="L64" i="8" s="1"/>
  <c r="M64" i="8" s="1"/>
  <c r="N64" i="8" s="1"/>
  <c r="O64" i="8" s="1"/>
  <c r="P64" i="8" s="1"/>
  <c r="J64" i="8"/>
  <c r="K92" i="8"/>
  <c r="L92" i="8" s="1"/>
  <c r="M92" i="8" s="1"/>
  <c r="N92" i="8" s="1"/>
  <c r="O92" i="8" s="1"/>
  <c r="P92" i="8" s="1"/>
  <c r="J92" i="8"/>
  <c r="K68" i="8"/>
  <c r="L68" i="8" s="1"/>
  <c r="M68" i="8" s="1"/>
  <c r="N68" i="8" s="1"/>
  <c r="O68" i="8" s="1"/>
  <c r="P68" i="8" s="1"/>
  <c r="J68" i="8"/>
  <c r="K69" i="8"/>
  <c r="L69" i="8" s="1"/>
  <c r="M69" i="8" s="1"/>
  <c r="N69" i="8" s="1"/>
  <c r="O69" i="8" s="1"/>
  <c r="P69" i="8" s="1"/>
  <c r="J69" i="8"/>
  <c r="K88" i="8"/>
  <c r="L88" i="8" s="1"/>
  <c r="M88" i="8" s="1"/>
  <c r="N88" i="8" s="1"/>
  <c r="O88" i="8" s="1"/>
  <c r="P88" i="8" s="1"/>
  <c r="J88" i="8"/>
  <c r="K106" i="8"/>
  <c r="L106" i="8" s="1"/>
  <c r="M106" i="8" s="1"/>
  <c r="N106" i="8" s="1"/>
  <c r="O106" i="8" s="1"/>
  <c r="P106" i="8" s="1"/>
  <c r="J106" i="8"/>
  <c r="H74" i="8"/>
  <c r="Q72" i="8"/>
  <c r="K87" i="8"/>
  <c r="L87" i="8" s="1"/>
  <c r="M87" i="8" s="1"/>
  <c r="N87" i="8" s="1"/>
  <c r="O87" i="8" s="1"/>
  <c r="P87" i="8" s="1"/>
  <c r="J87" i="8"/>
  <c r="I72" i="8"/>
  <c r="I89" i="8"/>
  <c r="H95" i="8"/>
  <c r="Q95" i="8" s="1"/>
  <c r="E128" i="25" l="1"/>
  <c r="F128" i="25"/>
  <c r="D64" i="6"/>
  <c r="F64" i="6" s="1"/>
  <c r="F66" i="6" s="1"/>
  <c r="R118" i="25"/>
  <c r="T118" i="25"/>
  <c r="U118" i="25"/>
  <c r="AC118" i="25"/>
  <c r="V118" i="25"/>
  <c r="X118" i="25"/>
  <c r="Y118" i="25"/>
  <c r="AD118" i="25"/>
  <c r="P118" i="25"/>
  <c r="Q118" i="25"/>
  <c r="AA118" i="25"/>
  <c r="W118" i="25"/>
  <c r="Z118" i="25"/>
  <c r="O118" i="25"/>
  <c r="AB118" i="25"/>
  <c r="S118" i="25"/>
  <c r="Y120" i="25"/>
  <c r="Z120" i="25"/>
  <c r="AC120" i="25"/>
  <c r="Q120" i="25"/>
  <c r="AD120" i="25"/>
  <c r="P120" i="25"/>
  <c r="R120" i="25"/>
  <c r="T120" i="25"/>
  <c r="U120" i="25"/>
  <c r="V120" i="25"/>
  <c r="X120" i="25"/>
  <c r="O120" i="25"/>
  <c r="AB120" i="25"/>
  <c r="S120" i="25"/>
  <c r="W120" i="25"/>
  <c r="AA120" i="25"/>
  <c r="Z122" i="25"/>
  <c r="AB122" i="25"/>
  <c r="AC122" i="25"/>
  <c r="T122" i="25"/>
  <c r="O122" i="25"/>
  <c r="AD122" i="25"/>
  <c r="R122" i="25"/>
  <c r="P122" i="25"/>
  <c r="Q122" i="25"/>
  <c r="U122" i="25"/>
  <c r="W122" i="25"/>
  <c r="X122" i="25"/>
  <c r="Y122" i="25"/>
  <c r="S122" i="25"/>
  <c r="V122" i="25"/>
  <c r="AA122" i="25"/>
  <c r="V82" i="25"/>
  <c r="W82" i="25"/>
  <c r="X82" i="25"/>
  <c r="Y82" i="25"/>
  <c r="Z82" i="25"/>
  <c r="O82" i="25"/>
  <c r="AA82" i="25"/>
  <c r="T82" i="25"/>
  <c r="P82" i="25"/>
  <c r="AB82" i="25"/>
  <c r="Q82" i="25"/>
  <c r="AC82" i="25"/>
  <c r="R82" i="25"/>
  <c r="AD82" i="25"/>
  <c r="S82" i="25"/>
  <c r="U82" i="25"/>
  <c r="S117" i="25"/>
  <c r="U117" i="25"/>
  <c r="V117" i="25"/>
  <c r="W117" i="25"/>
  <c r="X117" i="25"/>
  <c r="Z117" i="25"/>
  <c r="AB117" i="25"/>
  <c r="Y117" i="25"/>
  <c r="AC117" i="25"/>
  <c r="AD117" i="25"/>
  <c r="Q117" i="25"/>
  <c r="R117" i="25"/>
  <c r="O117" i="25"/>
  <c r="T117" i="25"/>
  <c r="P117" i="25"/>
  <c r="AA117" i="25"/>
  <c r="AC135" i="25"/>
  <c r="AB135" i="25"/>
  <c r="P135" i="25"/>
  <c r="AA135" i="25"/>
  <c r="S135" i="25"/>
  <c r="O135" i="25"/>
  <c r="W135" i="25"/>
  <c r="T135" i="25"/>
  <c r="Q135" i="25"/>
  <c r="X135" i="25"/>
  <c r="Z135" i="25"/>
  <c r="U135" i="25"/>
  <c r="R135" i="25"/>
  <c r="AD135" i="25"/>
  <c r="Y135" i="25"/>
  <c r="V135" i="25"/>
  <c r="F69" i="6"/>
  <c r="F70" i="6"/>
  <c r="F73" i="6"/>
  <c r="F74" i="6"/>
  <c r="I122" i="25"/>
  <c r="K122" i="25"/>
  <c r="J122" i="25"/>
  <c r="N122" i="25"/>
  <c r="F122" i="25"/>
  <c r="E122" i="25"/>
  <c r="G122" i="25"/>
  <c r="H122" i="25"/>
  <c r="L122" i="25"/>
  <c r="M122" i="25"/>
  <c r="N82" i="25"/>
  <c r="K82" i="25"/>
  <c r="F82" i="25"/>
  <c r="E82" i="25"/>
  <c r="G82" i="25"/>
  <c r="H82" i="25"/>
  <c r="L82" i="25"/>
  <c r="I82" i="25"/>
  <c r="M82" i="25"/>
  <c r="J82" i="25"/>
  <c r="I135" i="25"/>
  <c r="N135" i="25"/>
  <c r="M135" i="25"/>
  <c r="K135" i="25"/>
  <c r="F135" i="25"/>
  <c r="E135" i="25"/>
  <c r="G135" i="25"/>
  <c r="L135" i="25"/>
  <c r="J135" i="25"/>
  <c r="H135" i="25"/>
  <c r="I117" i="25"/>
  <c r="M117" i="25"/>
  <c r="J117" i="25"/>
  <c r="N117" i="25"/>
  <c r="K117" i="25"/>
  <c r="L117" i="25"/>
  <c r="F117" i="25"/>
  <c r="E117" i="25"/>
  <c r="G117" i="25"/>
  <c r="H117" i="25"/>
  <c r="I120" i="25"/>
  <c r="K120" i="25"/>
  <c r="L120" i="25"/>
  <c r="M120" i="25"/>
  <c r="N120" i="25"/>
  <c r="J120" i="25"/>
  <c r="E120" i="25"/>
  <c r="F120" i="25"/>
  <c r="H120" i="25"/>
  <c r="G120" i="25"/>
  <c r="L118" i="25"/>
  <c r="M118" i="25"/>
  <c r="I118" i="25"/>
  <c r="K118" i="25"/>
  <c r="J118" i="25"/>
  <c r="N118" i="25"/>
  <c r="E118" i="25"/>
  <c r="F118" i="25"/>
  <c r="G118" i="25"/>
  <c r="H118" i="25"/>
  <c r="K89" i="8"/>
  <c r="L89" i="8" s="1"/>
  <c r="M89" i="8" s="1"/>
  <c r="N89" i="8" s="1"/>
  <c r="O89" i="8" s="1"/>
  <c r="P89" i="8" s="1"/>
  <c r="J89" i="8"/>
  <c r="K93" i="8"/>
  <c r="L93" i="8" s="1"/>
  <c r="M93" i="8" s="1"/>
  <c r="N93" i="8" s="1"/>
  <c r="O93" i="8" s="1"/>
  <c r="P93" i="8" s="1"/>
  <c r="J93" i="8"/>
  <c r="K100" i="8"/>
  <c r="L100" i="8" s="1"/>
  <c r="M100" i="8" s="1"/>
  <c r="N100" i="8" s="1"/>
  <c r="O100" i="8" s="1"/>
  <c r="P100" i="8" s="1"/>
  <c r="J100" i="8"/>
  <c r="K98" i="8"/>
  <c r="L98" i="8" s="1"/>
  <c r="M98" i="8" s="1"/>
  <c r="N98" i="8" s="1"/>
  <c r="O98" i="8" s="1"/>
  <c r="P98" i="8" s="1"/>
  <c r="J98" i="8"/>
  <c r="K75" i="8"/>
  <c r="L75" i="8" s="1"/>
  <c r="M75" i="8" s="1"/>
  <c r="N75" i="8" s="1"/>
  <c r="O75" i="8" s="1"/>
  <c r="P75" i="8" s="1"/>
  <c r="J75" i="8"/>
  <c r="K73" i="8"/>
  <c r="L73" i="8" s="1"/>
  <c r="M73" i="8" s="1"/>
  <c r="N73" i="8" s="1"/>
  <c r="O73" i="8" s="1"/>
  <c r="P73" i="8" s="1"/>
  <c r="J73" i="8"/>
  <c r="K72" i="8"/>
  <c r="L72" i="8" s="1"/>
  <c r="M72" i="8" s="1"/>
  <c r="N72" i="8" s="1"/>
  <c r="O72" i="8" s="1"/>
  <c r="P72" i="8" s="1"/>
  <c r="J72" i="8"/>
  <c r="K102" i="8"/>
  <c r="L102" i="8" s="1"/>
  <c r="M102" i="8" s="1"/>
  <c r="N102" i="8" s="1"/>
  <c r="O102" i="8" s="1"/>
  <c r="P102" i="8" s="1"/>
  <c r="J102" i="8"/>
  <c r="K101" i="8"/>
  <c r="L101" i="8" s="1"/>
  <c r="M101" i="8" s="1"/>
  <c r="N101" i="8" s="1"/>
  <c r="O101" i="8" s="1"/>
  <c r="P101" i="8" s="1"/>
  <c r="J101" i="8"/>
  <c r="K99" i="8"/>
  <c r="L99" i="8" s="1"/>
  <c r="M99" i="8" s="1"/>
  <c r="N99" i="8" s="1"/>
  <c r="O99" i="8" s="1"/>
  <c r="P99" i="8" s="1"/>
  <c r="J99" i="8"/>
  <c r="I74" i="8"/>
  <c r="Q74" i="8"/>
  <c r="K94" i="8"/>
  <c r="L94" i="8" s="1"/>
  <c r="M94" i="8" s="1"/>
  <c r="N94" i="8" s="1"/>
  <c r="O94" i="8" s="1"/>
  <c r="P94" i="8" s="1"/>
  <c r="J94" i="8"/>
  <c r="H103" i="8"/>
  <c r="Q103" i="8" s="1"/>
  <c r="I95" i="8"/>
  <c r="I21" i="18"/>
  <c r="I20" i="18"/>
  <c r="I19" i="18"/>
  <c r="I18" i="18"/>
  <c r="G21" i="18"/>
  <c r="G20" i="18"/>
  <c r="G19" i="18"/>
  <c r="G18" i="18"/>
  <c r="V119" i="25" l="1"/>
  <c r="X119" i="25"/>
  <c r="Y119" i="25"/>
  <c r="Z119" i="25"/>
  <c r="AC119" i="25"/>
  <c r="AD119" i="25"/>
  <c r="Q119" i="25"/>
  <c r="R119" i="25"/>
  <c r="S119" i="25"/>
  <c r="U119" i="25"/>
  <c r="O119" i="25"/>
  <c r="AB119" i="25"/>
  <c r="T119" i="25"/>
  <c r="P119" i="25"/>
  <c r="W119" i="25"/>
  <c r="AA119" i="25"/>
  <c r="K119" i="25"/>
  <c r="L119" i="25"/>
  <c r="I119" i="25"/>
  <c r="M119" i="25"/>
  <c r="J119" i="25"/>
  <c r="N119" i="25"/>
  <c r="F119" i="25"/>
  <c r="E119" i="25"/>
  <c r="G119" i="25"/>
  <c r="H119" i="25"/>
  <c r="K95" i="8"/>
  <c r="L95" i="8" s="1"/>
  <c r="M95" i="8" s="1"/>
  <c r="N95" i="8" s="1"/>
  <c r="O95" i="8" s="1"/>
  <c r="P95" i="8" s="1"/>
  <c r="J95" i="8"/>
  <c r="K74" i="8"/>
  <c r="L74" i="8" s="1"/>
  <c r="M74" i="8" s="1"/>
  <c r="N74" i="8" s="1"/>
  <c r="O74" i="8" s="1"/>
  <c r="P74" i="8" s="1"/>
  <c r="J74" i="8"/>
  <c r="I103" i="8"/>
  <c r="K103" i="8" l="1"/>
  <c r="L103" i="8" s="1"/>
  <c r="M103" i="8" s="1"/>
  <c r="N103" i="8" s="1"/>
  <c r="O103" i="8" s="1"/>
  <c r="P103" i="8" s="1"/>
  <c r="J103" i="8"/>
  <c r="F19" i="5" l="1"/>
  <c r="I140" i="8" l="1"/>
  <c r="K140" i="8" l="1"/>
  <c r="L140" i="8" s="1"/>
  <c r="M140" i="8" s="1"/>
  <c r="N140" i="8" s="1"/>
  <c r="O140" i="8" s="1"/>
  <c r="P140" i="8" s="1"/>
  <c r="J140" i="8"/>
  <c r="I141" i="8"/>
  <c r="K141" i="8" l="1"/>
  <c r="L141" i="8" s="1"/>
  <c r="M141" i="8" s="1"/>
  <c r="N141" i="8" s="1"/>
  <c r="O141" i="8" s="1"/>
  <c r="P141" i="8" s="1"/>
  <c r="J141" i="8"/>
  <c r="E93" i="24"/>
  <c r="E96" i="24" s="1"/>
  <c r="O35" i="8"/>
  <c r="N35" i="8"/>
  <c r="M35" i="8"/>
  <c r="L35" i="8"/>
  <c r="P146" i="8"/>
  <c r="O146" i="8"/>
  <c r="N146" i="8"/>
  <c r="M146" i="8"/>
  <c r="L146" i="8"/>
  <c r="P145" i="8"/>
  <c r="O145" i="8"/>
  <c r="N145" i="8"/>
  <c r="M145" i="8"/>
  <c r="L145" i="8"/>
  <c r="N144" i="8"/>
  <c r="M144" i="8"/>
  <c r="L144" i="8"/>
  <c r="O144" i="8"/>
  <c r="K146" i="8"/>
  <c r="Q146" i="8" s="1"/>
  <c r="K145" i="8"/>
  <c r="Q145" i="8" s="1"/>
  <c r="D70" i="6" s="1"/>
  <c r="K144" i="8"/>
  <c r="Q144" i="8" l="1"/>
  <c r="E112" i="24"/>
  <c r="J23" i="9" l="1"/>
  <c r="N23" i="9" s="1"/>
  <c r="M23" i="9" s="1"/>
  <c r="J19" i="9"/>
  <c r="N19" i="9" s="1"/>
  <c r="M19" i="9" s="1"/>
  <c r="J13" i="9"/>
  <c r="N13" i="9" s="1"/>
  <c r="M13" i="9" s="1"/>
  <c r="J18" i="9"/>
  <c r="N18" i="9" s="1"/>
  <c r="M18" i="9" s="1"/>
  <c r="J8" i="9"/>
  <c r="N8" i="9" s="1"/>
  <c r="M8" i="9" s="1"/>
  <c r="J17" i="9"/>
  <c r="N17" i="9" s="1"/>
  <c r="M17" i="9" s="1"/>
  <c r="J25" i="9"/>
  <c r="N25" i="9" s="1"/>
  <c r="M25" i="9" s="1"/>
  <c r="J14" i="9"/>
  <c r="N14" i="9" s="1"/>
  <c r="M14" i="9" s="1"/>
  <c r="J20" i="9"/>
  <c r="N20" i="9" s="1"/>
  <c r="M20" i="9" s="1"/>
  <c r="J24" i="9"/>
  <c r="N24" i="9" s="1"/>
  <c r="M24" i="9" s="1"/>
  <c r="J9" i="9"/>
  <c r="N9" i="9" s="1"/>
  <c r="M9" i="9" s="1"/>
  <c r="J7" i="9"/>
  <c r="N7" i="9" s="1"/>
  <c r="M7" i="9" s="1"/>
  <c r="J22" i="9"/>
  <c r="N22" i="9" s="1"/>
  <c r="M22" i="9" s="1"/>
  <c r="J15" i="9"/>
  <c r="N15" i="9" s="1"/>
  <c r="M15" i="9" s="1"/>
  <c r="J10" i="9"/>
  <c r="N10" i="9" s="1"/>
  <c r="M10" i="9" s="1"/>
  <c r="J6" i="9"/>
  <c r="N6" i="9" s="1"/>
  <c r="J12" i="9"/>
  <c r="N12" i="9" s="1"/>
  <c r="M12" i="9" s="1"/>
  <c r="J21" i="9"/>
  <c r="N21" i="9" s="1"/>
  <c r="M21" i="9" s="1"/>
  <c r="J16" i="9"/>
  <c r="N16" i="9" s="1"/>
  <c r="M16" i="9" s="1"/>
  <c r="J11" i="9"/>
  <c r="N11" i="9" s="1"/>
  <c r="M11" i="9" s="1"/>
  <c r="D69" i="6"/>
  <c r="H35" i="8"/>
  <c r="Q35" i="8" s="1"/>
  <c r="D67" i="25" s="1"/>
  <c r="M6" i="9" l="1"/>
  <c r="N4" i="9"/>
  <c r="R67" i="25"/>
  <c r="R133" i="25" s="1"/>
  <c r="U67" i="25"/>
  <c r="U133" i="25" s="1"/>
  <c r="V67" i="25"/>
  <c r="X67" i="25"/>
  <c r="X133" i="25" s="1"/>
  <c r="Y67" i="25"/>
  <c r="Y133" i="25" s="1"/>
  <c r="Z67" i="25"/>
  <c r="Z133" i="25" s="1"/>
  <c r="AC67" i="25"/>
  <c r="AC133" i="25" s="1"/>
  <c r="AD67" i="25"/>
  <c r="AD133" i="25" s="1"/>
  <c r="Q67" i="25"/>
  <c r="Q133" i="25" s="1"/>
  <c r="AA67" i="25"/>
  <c r="AA133" i="25" s="1"/>
  <c r="O67" i="25"/>
  <c r="O133" i="25" s="1"/>
  <c r="P67" i="25"/>
  <c r="P133" i="25" s="1"/>
  <c r="AB67" i="25"/>
  <c r="AB133" i="25" s="1"/>
  <c r="T67" i="25"/>
  <c r="T133" i="25" s="1"/>
  <c r="S67" i="25"/>
  <c r="W67" i="25"/>
  <c r="W133" i="25" s="1"/>
  <c r="L67" i="25"/>
  <c r="L133" i="25" s="1"/>
  <c r="I67" i="25"/>
  <c r="I133" i="25" s="1"/>
  <c r="M67" i="25"/>
  <c r="M133" i="25" s="1"/>
  <c r="J67" i="25"/>
  <c r="J133" i="25" s="1"/>
  <c r="N67" i="25"/>
  <c r="N133" i="25" s="1"/>
  <c r="K67" i="25"/>
  <c r="K133" i="25" s="1"/>
  <c r="F67" i="25"/>
  <c r="F133" i="25" s="1"/>
  <c r="E67" i="25"/>
  <c r="E133" i="25" s="1"/>
  <c r="G67" i="25"/>
  <c r="G133" i="25" s="1"/>
  <c r="H67" i="25"/>
  <c r="H133" i="25" s="1"/>
  <c r="E58" i="24"/>
  <c r="E61" i="24" s="1"/>
  <c r="I35" i="8"/>
  <c r="I34" i="8"/>
  <c r="H34" i="8"/>
  <c r="Q34" i="8" s="1"/>
  <c r="D66" i="25" s="1"/>
  <c r="K23" i="5" l="1"/>
  <c r="K24" i="5" s="1"/>
  <c r="AD66" i="25"/>
  <c r="V66" i="25"/>
  <c r="V130" i="25" s="1"/>
  <c r="R66" i="25"/>
  <c r="S66" i="25"/>
  <c r="U66" i="25"/>
  <c r="Y66" i="25"/>
  <c r="Q66" i="25"/>
  <c r="T66" i="25"/>
  <c r="AA66" i="25"/>
  <c r="AC66" i="25"/>
  <c r="O66" i="25"/>
  <c r="Z66" i="25"/>
  <c r="X66" i="25"/>
  <c r="AB66" i="25"/>
  <c r="P66" i="25"/>
  <c r="W66" i="25"/>
  <c r="S133" i="25"/>
  <c r="V133" i="25"/>
  <c r="L66" i="25"/>
  <c r="K66" i="25"/>
  <c r="I66" i="25"/>
  <c r="J66" i="25"/>
  <c r="N66" i="25"/>
  <c r="M66" i="25"/>
  <c r="E66" i="25"/>
  <c r="F66" i="25"/>
  <c r="G66" i="25"/>
  <c r="H66" i="25"/>
  <c r="I47" i="8"/>
  <c r="I46" i="8"/>
  <c r="J46" i="8" s="1"/>
  <c r="AC131" i="25" l="1"/>
  <c r="AC130" i="25"/>
  <c r="AC129" i="25"/>
  <c r="AC132" i="25"/>
  <c r="O131" i="25"/>
  <c r="O132" i="25"/>
  <c r="O129" i="25"/>
  <c r="O130" i="25"/>
  <c r="AA131" i="25"/>
  <c r="AA132" i="25"/>
  <c r="AA130" i="25"/>
  <c r="AA129" i="25"/>
  <c r="U129" i="25"/>
  <c r="U131" i="25"/>
  <c r="U132" i="25"/>
  <c r="U130" i="25"/>
  <c r="S130" i="25"/>
  <c r="S132" i="25"/>
  <c r="S131" i="25"/>
  <c r="T129" i="25"/>
  <c r="T131" i="25"/>
  <c r="T132" i="25"/>
  <c r="T130" i="25"/>
  <c r="Y129" i="25"/>
  <c r="Y132" i="25"/>
  <c r="Y131" i="25"/>
  <c r="Y130" i="25"/>
  <c r="R129" i="25"/>
  <c r="R130" i="25"/>
  <c r="R131" i="25"/>
  <c r="R132" i="25"/>
  <c r="S129" i="25"/>
  <c r="AB132" i="25"/>
  <c r="AB131" i="25"/>
  <c r="AB130" i="25"/>
  <c r="AB129" i="25"/>
  <c r="V132" i="25"/>
  <c r="V129" i="25"/>
  <c r="V131" i="25"/>
  <c r="Z130" i="25"/>
  <c r="Z129" i="25"/>
  <c r="Z131" i="25"/>
  <c r="Z132" i="25"/>
  <c r="Q131" i="25"/>
  <c r="Q130" i="25"/>
  <c r="Q129" i="25"/>
  <c r="Q132" i="25"/>
  <c r="W129" i="25"/>
  <c r="W132" i="25"/>
  <c r="W130" i="25"/>
  <c r="W131" i="25"/>
  <c r="P130" i="25"/>
  <c r="P131" i="25"/>
  <c r="P129" i="25"/>
  <c r="P132" i="25"/>
  <c r="X129" i="25"/>
  <c r="X131" i="25"/>
  <c r="X130" i="25"/>
  <c r="X132" i="25"/>
  <c r="AD131" i="25"/>
  <c r="AD130" i="25"/>
  <c r="AD132" i="25"/>
  <c r="AD129" i="25"/>
  <c r="I131" i="25"/>
  <c r="I130" i="25"/>
  <c r="I132" i="25"/>
  <c r="I129" i="25"/>
  <c r="E131" i="25"/>
  <c r="E132" i="25"/>
  <c r="E130" i="25"/>
  <c r="E129" i="25"/>
  <c r="K129" i="25"/>
  <c r="K130" i="25"/>
  <c r="K131" i="25"/>
  <c r="K132" i="25"/>
  <c r="F130" i="25"/>
  <c r="F131" i="25"/>
  <c r="F132" i="25"/>
  <c r="F129" i="25"/>
  <c r="J129" i="25"/>
  <c r="J132" i="25"/>
  <c r="J130" i="25"/>
  <c r="J131" i="25"/>
  <c r="H132" i="25"/>
  <c r="H129" i="25"/>
  <c r="H130" i="25"/>
  <c r="H131" i="25"/>
  <c r="M129" i="25"/>
  <c r="M132" i="25"/>
  <c r="M130" i="25"/>
  <c r="M131" i="25"/>
  <c r="G130" i="25"/>
  <c r="G129" i="25"/>
  <c r="G131" i="25"/>
  <c r="G132" i="25"/>
  <c r="N129" i="25"/>
  <c r="N130" i="25"/>
  <c r="N131" i="25"/>
  <c r="N132" i="25"/>
  <c r="L130" i="25"/>
  <c r="L132" i="25"/>
  <c r="L131" i="25"/>
  <c r="L129" i="25"/>
  <c r="K47" i="8"/>
  <c r="L47" i="8" s="1"/>
  <c r="M47" i="8" s="1"/>
  <c r="N47" i="8" s="1"/>
  <c r="O47" i="8" s="1"/>
  <c r="P47" i="8" s="1"/>
  <c r="D80" i="25" s="1"/>
  <c r="J47" i="8"/>
  <c r="J45" i="8" s="1"/>
  <c r="K46" i="8"/>
  <c r="I45" i="8"/>
  <c r="H49" i="8"/>
  <c r="K45" i="8" l="1"/>
  <c r="K49" i="8" s="1"/>
  <c r="H134" i="25"/>
  <c r="G134" i="25"/>
  <c r="H104" i="8"/>
  <c r="Q104" i="8" s="1"/>
  <c r="Q49" i="8"/>
  <c r="J49" i="8"/>
  <c r="J36" i="8" s="1"/>
  <c r="H76" i="8"/>
  <c r="H36" i="8"/>
  <c r="Q36" i="8" s="1"/>
  <c r="D68" i="25" s="1"/>
  <c r="L46" i="8"/>
  <c r="L45" i="8" s="1"/>
  <c r="W68" i="25" l="1"/>
  <c r="W69" i="25" s="1"/>
  <c r="X68" i="25"/>
  <c r="X69" i="25" s="1"/>
  <c r="Y68" i="25"/>
  <c r="Y69" i="25" s="1"/>
  <c r="Z68" i="25"/>
  <c r="Z69" i="25" s="1"/>
  <c r="AB68" i="25"/>
  <c r="AB69" i="25" s="1"/>
  <c r="S68" i="25"/>
  <c r="S69" i="25" s="1"/>
  <c r="AC68" i="25"/>
  <c r="AC69" i="25" s="1"/>
  <c r="Q68" i="25"/>
  <c r="Q69" i="25" s="1"/>
  <c r="U68" i="25"/>
  <c r="U69" i="25" s="1"/>
  <c r="P68" i="25"/>
  <c r="P69" i="25" s="1"/>
  <c r="AA68" i="25"/>
  <c r="AA69" i="25" s="1"/>
  <c r="R68" i="25"/>
  <c r="R69" i="25" s="1"/>
  <c r="T68" i="25"/>
  <c r="T69" i="25" s="1"/>
  <c r="V68" i="25"/>
  <c r="V69" i="25" s="1"/>
  <c r="AD68" i="25"/>
  <c r="AD69" i="25" s="1"/>
  <c r="O68" i="25"/>
  <c r="O69" i="25" s="1"/>
  <c r="I104" i="8"/>
  <c r="K104" i="8" s="1"/>
  <c r="L104" i="8" s="1"/>
  <c r="M104" i="8" s="1"/>
  <c r="N104" i="8" s="1"/>
  <c r="O104" i="8" s="1"/>
  <c r="P104" i="8" s="1"/>
  <c r="L68" i="25"/>
  <c r="L69" i="25" s="1"/>
  <c r="K68" i="25"/>
  <c r="K69" i="25" s="1"/>
  <c r="J68" i="25"/>
  <c r="J69" i="25" s="1"/>
  <c r="M68" i="25"/>
  <c r="M69" i="25" s="1"/>
  <c r="N68" i="25"/>
  <c r="N69" i="25" s="1"/>
  <c r="I68" i="25"/>
  <c r="I69" i="25" s="1"/>
  <c r="F68" i="25"/>
  <c r="F69" i="25" s="1"/>
  <c r="E68" i="25"/>
  <c r="E69" i="25" s="1"/>
  <c r="H68" i="25"/>
  <c r="H69" i="25" s="1"/>
  <c r="G68" i="25"/>
  <c r="G69" i="25" s="1"/>
  <c r="I76" i="8"/>
  <c r="Q76" i="8"/>
  <c r="J104" i="8"/>
  <c r="M46" i="8"/>
  <c r="M45" i="8" s="1"/>
  <c r="L49" i="8"/>
  <c r="AB121" i="25" l="1"/>
  <c r="AB123" i="25" s="1"/>
  <c r="AB136" i="25" s="1"/>
  <c r="AB137" i="25" s="1"/>
  <c r="AB145" i="25" s="1"/>
  <c r="AB179" i="25" s="1"/>
  <c r="AC121" i="25"/>
  <c r="AC123" i="25" s="1"/>
  <c r="AC136" i="25" s="1"/>
  <c r="AC137" i="25" s="1"/>
  <c r="AC145" i="25" s="1"/>
  <c r="AC179" i="25" s="1"/>
  <c r="AD121" i="25"/>
  <c r="AD123" i="25" s="1"/>
  <c r="AD136" i="25" s="1"/>
  <c r="AD137" i="25" s="1"/>
  <c r="AD145" i="25" s="1"/>
  <c r="AD179" i="25" s="1"/>
  <c r="Q121" i="25"/>
  <c r="Q123" i="25" s="1"/>
  <c r="Q136" i="25" s="1"/>
  <c r="Q137" i="25" s="1"/>
  <c r="Q145" i="25" s="1"/>
  <c r="Q179" i="25" s="1"/>
  <c r="S121" i="25"/>
  <c r="S123" i="25" s="1"/>
  <c r="S136" i="25" s="1"/>
  <c r="S137" i="25" s="1"/>
  <c r="S145" i="25" s="1"/>
  <c r="S179" i="25" s="1"/>
  <c r="U121" i="25"/>
  <c r="U123" i="25" s="1"/>
  <c r="U136" i="25" s="1"/>
  <c r="U137" i="25" s="1"/>
  <c r="U145" i="25" s="1"/>
  <c r="U179" i="25" s="1"/>
  <c r="R121" i="25"/>
  <c r="R123" i="25" s="1"/>
  <c r="R136" i="25" s="1"/>
  <c r="R137" i="25" s="1"/>
  <c r="R145" i="25" s="1"/>
  <c r="R179" i="25" s="1"/>
  <c r="V121" i="25"/>
  <c r="V123" i="25" s="1"/>
  <c r="V136" i="25" s="1"/>
  <c r="V137" i="25" s="1"/>
  <c r="V145" i="25" s="1"/>
  <c r="V179" i="25" s="1"/>
  <c r="X121" i="25"/>
  <c r="X123" i="25" s="1"/>
  <c r="X136" i="25" s="1"/>
  <c r="X137" i="25" s="1"/>
  <c r="X145" i="25" s="1"/>
  <c r="X179" i="25" s="1"/>
  <c r="Y121" i="25"/>
  <c r="Y123" i="25" s="1"/>
  <c r="Y136" i="25" s="1"/>
  <c r="Y137" i="25" s="1"/>
  <c r="Y145" i="25" s="1"/>
  <c r="Y179" i="25" s="1"/>
  <c r="Z121" i="25"/>
  <c r="Z123" i="25" s="1"/>
  <c r="Z136" i="25" s="1"/>
  <c r="Z137" i="25" s="1"/>
  <c r="Z145" i="25" s="1"/>
  <c r="Z179" i="25" s="1"/>
  <c r="P121" i="25"/>
  <c r="P123" i="25" s="1"/>
  <c r="P136" i="25" s="1"/>
  <c r="P137" i="25" s="1"/>
  <c r="P145" i="25" s="1"/>
  <c r="P179" i="25" s="1"/>
  <c r="W121" i="25"/>
  <c r="W123" i="25" s="1"/>
  <c r="W136" i="25" s="1"/>
  <c r="W137" i="25" s="1"/>
  <c r="W145" i="25" s="1"/>
  <c r="W179" i="25" s="1"/>
  <c r="O121" i="25"/>
  <c r="O123" i="25" s="1"/>
  <c r="O136" i="25" s="1"/>
  <c r="O137" i="25" s="1"/>
  <c r="O145" i="25" s="1"/>
  <c r="O179" i="25" s="1"/>
  <c r="T121" i="25"/>
  <c r="T123" i="25" s="1"/>
  <c r="T136" i="25" s="1"/>
  <c r="T137" i="25" s="1"/>
  <c r="T145" i="25" s="1"/>
  <c r="T179" i="25" s="1"/>
  <c r="AA121" i="25"/>
  <c r="AA123" i="25" s="1"/>
  <c r="AA136" i="25" s="1"/>
  <c r="AA137" i="25" s="1"/>
  <c r="AA145" i="25" s="1"/>
  <c r="AA179" i="25" s="1"/>
  <c r="I121" i="25"/>
  <c r="I123" i="25" s="1"/>
  <c r="I136" i="25" s="1"/>
  <c r="I137" i="25" s="1"/>
  <c r="I145" i="25" s="1"/>
  <c r="I179" i="25" s="1"/>
  <c r="M121" i="25"/>
  <c r="M123" i="25" s="1"/>
  <c r="M136" i="25" s="1"/>
  <c r="M137" i="25" s="1"/>
  <c r="M145" i="25" s="1"/>
  <c r="M179" i="25" s="1"/>
  <c r="J121" i="25"/>
  <c r="J123" i="25" s="1"/>
  <c r="N121" i="25"/>
  <c r="N123" i="25" s="1"/>
  <c r="K121" i="25"/>
  <c r="K123" i="25" s="1"/>
  <c r="K136" i="25" s="1"/>
  <c r="K137" i="25" s="1"/>
  <c r="K145" i="25" s="1"/>
  <c r="K179" i="25" s="1"/>
  <c r="L121" i="25"/>
  <c r="L123" i="25" s="1"/>
  <c r="L136" i="25" s="1"/>
  <c r="L137" i="25" s="1"/>
  <c r="L145" i="25" s="1"/>
  <c r="L179" i="25" s="1"/>
  <c r="F121" i="25"/>
  <c r="F123" i="25" s="1"/>
  <c r="F136" i="25" s="1"/>
  <c r="E121" i="25"/>
  <c r="E123" i="25" s="1"/>
  <c r="E136" i="25" s="1"/>
  <c r="G121" i="25"/>
  <c r="G123" i="25" s="1"/>
  <c r="H121" i="25"/>
  <c r="H123" i="25" s="1"/>
  <c r="K76" i="8"/>
  <c r="L76" i="8" s="1"/>
  <c r="M76" i="8" s="1"/>
  <c r="N76" i="8" s="1"/>
  <c r="O76" i="8" s="1"/>
  <c r="P76" i="8" s="1"/>
  <c r="J76" i="8"/>
  <c r="L36" i="8"/>
  <c r="N46" i="8"/>
  <c r="N45" i="8" s="1"/>
  <c r="M49" i="8"/>
  <c r="P187" i="25" l="1"/>
  <c r="P182" i="25"/>
  <c r="P190" i="25" s="1"/>
  <c r="Z187" i="25"/>
  <c r="Z182" i="25"/>
  <c r="Z190" i="25" s="1"/>
  <c r="Y182" i="25"/>
  <c r="Y190" i="25" s="1"/>
  <c r="Y187" i="25"/>
  <c r="X187" i="25"/>
  <c r="X182" i="25"/>
  <c r="X190" i="25" s="1"/>
  <c r="V187" i="25"/>
  <c r="V182" i="25"/>
  <c r="V190" i="25" s="1"/>
  <c r="R187" i="25"/>
  <c r="R182" i="25"/>
  <c r="R190" i="25" s="1"/>
  <c r="U187" i="25"/>
  <c r="U182" i="25"/>
  <c r="U190" i="25" s="1"/>
  <c r="S182" i="25"/>
  <c r="S190" i="25" s="1"/>
  <c r="S187" i="25"/>
  <c r="AA187" i="25"/>
  <c r="AA182" i="25"/>
  <c r="AA190" i="25" s="1"/>
  <c r="Q187" i="25"/>
  <c r="Q182" i="25"/>
  <c r="Q190" i="25" s="1"/>
  <c r="T182" i="25"/>
  <c r="T190" i="25" s="1"/>
  <c r="T187" i="25"/>
  <c r="AD187" i="25"/>
  <c r="AD182" i="25"/>
  <c r="AD190" i="25" s="1"/>
  <c r="O182" i="25"/>
  <c r="O190" i="25" s="1"/>
  <c r="O187" i="25"/>
  <c r="AC187" i="25"/>
  <c r="AC182" i="25"/>
  <c r="AC190" i="25" s="1"/>
  <c r="W187" i="25"/>
  <c r="W182" i="25"/>
  <c r="W190" i="25" s="1"/>
  <c r="AB187" i="25"/>
  <c r="AB182" i="25"/>
  <c r="AB190" i="25" s="1"/>
  <c r="E150" i="25"/>
  <c r="E180" i="25" s="1"/>
  <c r="E188" i="25" s="1"/>
  <c r="N136" i="25"/>
  <c r="N137" i="25" s="1"/>
  <c r="N145" i="25" s="1"/>
  <c r="N179" i="25" s="1"/>
  <c r="J136" i="25"/>
  <c r="J137" i="25" s="1"/>
  <c r="J145" i="25" s="1"/>
  <c r="J179" i="25" s="1"/>
  <c r="H136" i="25"/>
  <c r="H137" i="25" s="1"/>
  <c r="H145" i="25" s="1"/>
  <c r="M187" i="25"/>
  <c r="M182" i="25"/>
  <c r="L187" i="25"/>
  <c r="L182" i="25"/>
  <c r="G136" i="25"/>
  <c r="G137" i="25" s="1"/>
  <c r="G145" i="25" s="1"/>
  <c r="K187" i="25"/>
  <c r="K182" i="25"/>
  <c r="I187" i="25"/>
  <c r="I182" i="25"/>
  <c r="N49" i="8"/>
  <c r="O46" i="8"/>
  <c r="O45" i="8" s="1"/>
  <c r="M36" i="8"/>
  <c r="J187" i="25" l="1"/>
  <c r="J182" i="25"/>
  <c r="K190" i="25"/>
  <c r="L190" i="25"/>
  <c r="M190" i="25"/>
  <c r="I190" i="25"/>
  <c r="N182" i="25"/>
  <c r="N187" i="25"/>
  <c r="O49" i="8"/>
  <c r="P46" i="8"/>
  <c r="D79" i="25" s="1"/>
  <c r="N36" i="8"/>
  <c r="C78" i="25" l="1"/>
  <c r="D81" i="25"/>
  <c r="J190" i="25"/>
  <c r="N190" i="25"/>
  <c r="P45" i="8"/>
  <c r="P49" i="8" s="1"/>
  <c r="P36" i="8" s="1"/>
  <c r="O36" i="8"/>
  <c r="F134" i="25" l="1"/>
  <c r="F137" i="25" s="1"/>
  <c r="F145" i="25" s="1"/>
  <c r="E134" i="25"/>
  <c r="E137" i="25" s="1"/>
  <c r="E145" i="25" s="1"/>
  <c r="U81" i="25"/>
  <c r="U83" i="25" s="1"/>
  <c r="X81" i="25"/>
  <c r="X83" i="25" s="1"/>
  <c r="Y81" i="25"/>
  <c r="Y83" i="25" s="1"/>
  <c r="AC81" i="25"/>
  <c r="AC83" i="25" s="1"/>
  <c r="AD81" i="25"/>
  <c r="AD83" i="25" s="1"/>
  <c r="R81" i="25"/>
  <c r="R83" i="25" s="1"/>
  <c r="P81" i="25"/>
  <c r="P83" i="25" s="1"/>
  <c r="Q81" i="25"/>
  <c r="Q83" i="25" s="1"/>
  <c r="T81" i="25"/>
  <c r="T83" i="25" s="1"/>
  <c r="S81" i="25"/>
  <c r="S83" i="25" s="1"/>
  <c r="Z81" i="25"/>
  <c r="Z83" i="25" s="1"/>
  <c r="V81" i="25"/>
  <c r="V83" i="25" s="1"/>
  <c r="W81" i="25"/>
  <c r="W83" i="25" s="1"/>
  <c r="O81" i="25"/>
  <c r="O83" i="25" s="1"/>
  <c r="AA81" i="25"/>
  <c r="AA83" i="25" s="1"/>
  <c r="AB81" i="25"/>
  <c r="AB83" i="25" s="1"/>
  <c r="N81" i="25"/>
  <c r="N83" i="25" s="1"/>
  <c r="L81" i="25"/>
  <c r="L83" i="25" s="1"/>
  <c r="J81" i="25"/>
  <c r="J83" i="25" s="1"/>
  <c r="K81" i="25"/>
  <c r="K83" i="25" s="1"/>
  <c r="M81" i="25"/>
  <c r="M83" i="25" s="1"/>
  <c r="I81" i="25"/>
  <c r="I83" i="25" s="1"/>
  <c r="E81" i="25"/>
  <c r="E83" i="25" s="1"/>
  <c r="E114" i="25" s="1"/>
  <c r="F81" i="25"/>
  <c r="F83" i="25" s="1"/>
  <c r="F114" i="25" s="1"/>
  <c r="H81" i="25"/>
  <c r="H83" i="25" s="1"/>
  <c r="H114" i="25" s="1"/>
  <c r="G81" i="25"/>
  <c r="G83" i="25" s="1"/>
  <c r="G114" i="25" s="1"/>
  <c r="D134" i="25"/>
  <c r="D160" i="24"/>
  <c r="D161" i="24"/>
  <c r="D117" i="24"/>
  <c r="D74" i="24"/>
  <c r="D75" i="24"/>
  <c r="D136" i="24"/>
  <c r="D77" i="24"/>
  <c r="D121" i="24"/>
  <c r="D118" i="24"/>
  <c r="D66" i="24"/>
  <c r="D80" i="24"/>
  <c r="D130" i="24"/>
  <c r="D132" i="24"/>
  <c r="D72" i="24"/>
  <c r="D73" i="24"/>
  <c r="D79" i="24"/>
  <c r="D156" i="24"/>
  <c r="D122" i="24"/>
  <c r="D128" i="24"/>
  <c r="D120" i="24"/>
  <c r="D119" i="24"/>
  <c r="D67" i="24"/>
  <c r="D76" i="24"/>
  <c r="D82" i="24"/>
  <c r="D135" i="24"/>
  <c r="D155" i="24"/>
  <c r="D129" i="24"/>
  <c r="D133" i="24"/>
  <c r="D131" i="24"/>
  <c r="H179" i="25" l="1"/>
  <c r="H187" i="25" s="1"/>
  <c r="H155" i="25"/>
  <c r="H156" i="25" s="1"/>
  <c r="H157" i="25" s="1"/>
  <c r="G179" i="25"/>
  <c r="G187" i="25" s="1"/>
  <c r="G155" i="25"/>
  <c r="G156" i="25" s="1"/>
  <c r="G157" i="25" s="1"/>
  <c r="F155" i="25"/>
  <c r="F179" i="25"/>
  <c r="F187" i="25" s="1"/>
  <c r="E179" i="25"/>
  <c r="E187" i="25" s="1"/>
  <c r="E155" i="25"/>
  <c r="E156" i="25" s="1"/>
  <c r="E157" i="25" s="1"/>
  <c r="H67" i="24"/>
  <c r="H133" i="24" s="1"/>
  <c r="E67" i="24"/>
  <c r="E133" i="24" s="1"/>
  <c r="G67" i="24"/>
  <c r="G133" i="24" s="1"/>
  <c r="F67" i="24"/>
  <c r="G66" i="24"/>
  <c r="F66" i="24"/>
  <c r="H66" i="24"/>
  <c r="E66" i="24"/>
  <c r="F77" i="24"/>
  <c r="G77" i="24"/>
  <c r="H77" i="24"/>
  <c r="E77" i="24"/>
  <c r="H75" i="24"/>
  <c r="E75" i="24"/>
  <c r="G75" i="24"/>
  <c r="F75" i="24"/>
  <c r="G117" i="24"/>
  <c r="H117" i="24"/>
  <c r="F117" i="24"/>
  <c r="E117" i="24"/>
  <c r="H82" i="24"/>
  <c r="E82" i="24"/>
  <c r="G82" i="24"/>
  <c r="F82" i="24"/>
  <c r="H122" i="24"/>
  <c r="G122" i="24"/>
  <c r="F122" i="24"/>
  <c r="E122" i="24"/>
  <c r="H72" i="24"/>
  <c r="F72" i="24"/>
  <c r="G72" i="24"/>
  <c r="E72" i="24"/>
  <c r="E135" i="24"/>
  <c r="F135" i="24"/>
  <c r="G135" i="24"/>
  <c r="H135" i="24"/>
  <c r="E76" i="24"/>
  <c r="F76" i="24"/>
  <c r="H76" i="24"/>
  <c r="G76" i="24"/>
  <c r="H118" i="24"/>
  <c r="G118" i="24"/>
  <c r="F118" i="24"/>
  <c r="E118" i="24"/>
  <c r="G121" i="24"/>
  <c r="E121" i="24"/>
  <c r="H121" i="24"/>
  <c r="F121" i="24"/>
  <c r="G74" i="24"/>
  <c r="H74" i="24"/>
  <c r="E74" i="24"/>
  <c r="F74" i="24"/>
  <c r="F120" i="24"/>
  <c r="E120" i="24"/>
  <c r="G120" i="24"/>
  <c r="H120" i="24"/>
  <c r="H119" i="24"/>
  <c r="F119" i="24"/>
  <c r="E119" i="24"/>
  <c r="G119" i="24"/>
  <c r="H128" i="24"/>
  <c r="E128" i="24"/>
  <c r="F128" i="24"/>
  <c r="G128" i="24"/>
  <c r="F73" i="24"/>
  <c r="G73" i="24"/>
  <c r="H73" i="24"/>
  <c r="E73" i="24"/>
  <c r="I67" i="24"/>
  <c r="I66" i="24"/>
  <c r="D81" i="24"/>
  <c r="I76" i="24"/>
  <c r="I118" i="24"/>
  <c r="I74" i="24"/>
  <c r="I82" i="24"/>
  <c r="I120" i="24"/>
  <c r="I122" i="24"/>
  <c r="C78" i="24"/>
  <c r="I72" i="24"/>
  <c r="I77" i="24"/>
  <c r="I75" i="24"/>
  <c r="I117" i="24"/>
  <c r="I135" i="24"/>
  <c r="I119" i="24"/>
  <c r="I73" i="24"/>
  <c r="I121" i="24"/>
  <c r="I49" i="8"/>
  <c r="K36" i="8"/>
  <c r="H164" i="25" l="1"/>
  <c r="H165" i="25"/>
  <c r="G164" i="25"/>
  <c r="G165" i="25"/>
  <c r="H160" i="25"/>
  <c r="H161" i="25"/>
  <c r="G160" i="25"/>
  <c r="G161" i="25"/>
  <c r="F156" i="25"/>
  <c r="F157" i="25" s="1"/>
  <c r="E165" i="25"/>
  <c r="E160" i="25"/>
  <c r="E161" i="25"/>
  <c r="E164" i="25"/>
  <c r="D68" i="24"/>
  <c r="E131" i="24"/>
  <c r="F129" i="24"/>
  <c r="G132" i="24"/>
  <c r="H132" i="24"/>
  <c r="H130" i="24"/>
  <c r="G129" i="24"/>
  <c r="H129" i="24"/>
  <c r="G131" i="24"/>
  <c r="H131" i="24"/>
  <c r="E132" i="24"/>
  <c r="F131" i="24"/>
  <c r="F130" i="24"/>
  <c r="F133" i="24"/>
  <c r="G81" i="24"/>
  <c r="G83" i="24" s="1"/>
  <c r="F81" i="24"/>
  <c r="F83" i="24" s="1"/>
  <c r="H81" i="24"/>
  <c r="H83" i="24" s="1"/>
  <c r="E81" i="24"/>
  <c r="E83" i="24" s="1"/>
  <c r="E129" i="24"/>
  <c r="F132" i="24"/>
  <c r="F123" i="24"/>
  <c r="F136" i="24" s="1"/>
  <c r="E130" i="24"/>
  <c r="H123" i="24"/>
  <c r="H136" i="24" s="1"/>
  <c r="G123" i="24"/>
  <c r="G136" i="24" s="1"/>
  <c r="G130" i="24"/>
  <c r="G14" i="16"/>
  <c r="D14" i="16" s="1"/>
  <c r="G8" i="16"/>
  <c r="D8" i="16" s="1"/>
  <c r="G19" i="16"/>
  <c r="D19" i="16" s="1"/>
  <c r="G3" i="16"/>
  <c r="D3" i="16" s="1"/>
  <c r="G10" i="16"/>
  <c r="D10" i="16" s="1"/>
  <c r="G21" i="16"/>
  <c r="D21" i="16" s="1"/>
  <c r="G5" i="16"/>
  <c r="D5" i="16" s="1"/>
  <c r="G27" i="16"/>
  <c r="D27" i="16" s="1"/>
  <c r="G22" i="16"/>
  <c r="D22" i="16" s="1"/>
  <c r="G13" i="16"/>
  <c r="D13" i="16" s="1"/>
  <c r="G12" i="16"/>
  <c r="D12" i="16" s="1"/>
  <c r="G18" i="16"/>
  <c r="D18" i="16" s="1"/>
  <c r="G25" i="16"/>
  <c r="D25" i="16" s="1"/>
  <c r="G20" i="16"/>
  <c r="D20" i="16" s="1"/>
  <c r="G2" i="16"/>
  <c r="D2" i="16" s="1"/>
  <c r="G4" i="16"/>
  <c r="D4" i="16" s="1"/>
  <c r="G15" i="16"/>
  <c r="D15" i="16" s="1"/>
  <c r="G26" i="16"/>
  <c r="D26" i="16" s="1"/>
  <c r="G6" i="16"/>
  <c r="D6" i="16" s="1"/>
  <c r="G17" i="16"/>
  <c r="D17" i="16" s="1"/>
  <c r="G28" i="16"/>
  <c r="D28" i="16" s="1"/>
  <c r="G16" i="16"/>
  <c r="D16" i="16" s="1"/>
  <c r="G11" i="16"/>
  <c r="D11" i="16" s="1"/>
  <c r="G29" i="16"/>
  <c r="D29" i="16" s="1"/>
  <c r="G24" i="16"/>
  <c r="D24" i="16" s="1"/>
  <c r="G23" i="16"/>
  <c r="D23" i="16" s="1"/>
  <c r="G7" i="16"/>
  <c r="D7" i="16" s="1"/>
  <c r="G9" i="16"/>
  <c r="D9" i="16" s="1"/>
  <c r="D134" i="24"/>
  <c r="I131" i="24"/>
  <c r="E123" i="24"/>
  <c r="E136" i="24" s="1"/>
  <c r="I81" i="24"/>
  <c r="I83" i="24" s="1"/>
  <c r="I123" i="24"/>
  <c r="I136" i="24" s="1"/>
  <c r="I130" i="24"/>
  <c r="I129" i="24"/>
  <c r="I133" i="24"/>
  <c r="I132" i="24"/>
  <c r="I36" i="8"/>
  <c r="H166" i="25" l="1"/>
  <c r="H168" i="25" s="1"/>
  <c r="H174" i="25"/>
  <c r="G166" i="25"/>
  <c r="G168" i="25" s="1"/>
  <c r="F165" i="25"/>
  <c r="F164" i="25"/>
  <c r="F160" i="25"/>
  <c r="F161" i="25"/>
  <c r="E166" i="25"/>
  <c r="E168" i="25" s="1"/>
  <c r="G68" i="24"/>
  <c r="G69" i="24" s="1"/>
  <c r="G114" i="24" s="1"/>
  <c r="E68" i="24"/>
  <c r="E69" i="24" s="1"/>
  <c r="E114" i="24" s="1"/>
  <c r="I68" i="24"/>
  <c r="I69" i="24" s="1"/>
  <c r="H68" i="24"/>
  <c r="H69" i="24" s="1"/>
  <c r="H114" i="24" s="1"/>
  <c r="F68" i="24"/>
  <c r="F69" i="24" s="1"/>
  <c r="F114" i="24" s="1"/>
  <c r="H134" i="24"/>
  <c r="H137" i="24" s="1"/>
  <c r="H145" i="24" s="1"/>
  <c r="G134" i="24"/>
  <c r="G137" i="24" s="1"/>
  <c r="G145" i="24" s="1"/>
  <c r="F134" i="24"/>
  <c r="F137" i="24" s="1"/>
  <c r="F145" i="24" s="1"/>
  <c r="E134" i="24"/>
  <c r="E137" i="24" s="1"/>
  <c r="E145" i="24" s="1"/>
  <c r="I114" i="24"/>
  <c r="I134" i="24"/>
  <c r="I137" i="24" s="1"/>
  <c r="I145" i="24" s="1"/>
  <c r="I25" i="16"/>
  <c r="J25" i="16" s="1"/>
  <c r="I28" i="16"/>
  <c r="J28" i="16" s="1"/>
  <c r="I21" i="16"/>
  <c r="J21" i="16" s="1"/>
  <c r="I26" i="16"/>
  <c r="J26" i="16" s="1"/>
  <c r="I29" i="16"/>
  <c r="J29" i="16" s="1"/>
  <c r="I22" i="16"/>
  <c r="J22" i="16" s="1"/>
  <c r="I24" i="16"/>
  <c r="J24" i="16" s="1"/>
  <c r="I27" i="16"/>
  <c r="J27" i="16" s="1"/>
  <c r="I20" i="16"/>
  <c r="J20" i="16" s="1"/>
  <c r="I23" i="16"/>
  <c r="J23" i="16" s="1"/>
  <c r="I4" i="16"/>
  <c r="J4" i="16" s="1"/>
  <c r="I8" i="16"/>
  <c r="J8" i="16" s="1"/>
  <c r="I12" i="16"/>
  <c r="J12" i="16" s="1"/>
  <c r="I16" i="16"/>
  <c r="J16" i="16" s="1"/>
  <c r="I2" i="16"/>
  <c r="J2" i="16" s="1"/>
  <c r="I5" i="16"/>
  <c r="J5" i="16" s="1"/>
  <c r="I9" i="16"/>
  <c r="J9" i="16" s="1"/>
  <c r="I13" i="16"/>
  <c r="J13" i="16" s="1"/>
  <c r="I17" i="16"/>
  <c r="J17" i="16" s="1"/>
  <c r="I6" i="16"/>
  <c r="J6" i="16" s="1"/>
  <c r="I10" i="16"/>
  <c r="J10" i="16" s="1"/>
  <c r="I14" i="16"/>
  <c r="J14" i="16" s="1"/>
  <c r="I18" i="16"/>
  <c r="J18" i="16" s="1"/>
  <c r="I3" i="16"/>
  <c r="J3" i="16" s="1"/>
  <c r="I7" i="16"/>
  <c r="J7" i="16" s="1"/>
  <c r="I11" i="16"/>
  <c r="J11" i="16" s="1"/>
  <c r="I15" i="16"/>
  <c r="J15" i="16" s="1"/>
  <c r="I19" i="16"/>
  <c r="J19" i="16" s="1"/>
  <c r="F166" i="25" l="1"/>
  <c r="F168" i="25" s="1"/>
  <c r="F181" i="25" s="1"/>
  <c r="H181" i="25"/>
  <c r="H175" i="25"/>
  <c r="G181" i="25"/>
  <c r="G174" i="25"/>
  <c r="G175" i="25"/>
  <c r="E174" i="25"/>
  <c r="H17" i="5" s="1"/>
  <c r="E181" i="25"/>
  <c r="E175" i="25"/>
  <c r="I179" i="24"/>
  <c r="I187" i="24" s="1"/>
  <c r="I155" i="24"/>
  <c r="F174" i="25" l="1"/>
  <c r="H18" i="5" s="1"/>
  <c r="F175" i="25"/>
  <c r="F173" i="25" s="1"/>
  <c r="G18" i="5" s="1"/>
  <c r="H176" i="25"/>
  <c r="H173" i="25"/>
  <c r="H189" i="25"/>
  <c r="H182" i="25"/>
  <c r="G176" i="25"/>
  <c r="G173" i="25"/>
  <c r="G189" i="25"/>
  <c r="G182" i="25"/>
  <c r="F189" i="25"/>
  <c r="F182" i="25"/>
  <c r="E173" i="25"/>
  <c r="G17" i="5" s="1"/>
  <c r="E176" i="25"/>
  <c r="I17" i="5" s="1"/>
  <c r="E182" i="25"/>
  <c r="E189" i="25"/>
  <c r="I156" i="24"/>
  <c r="I157" i="24" s="1"/>
  <c r="F75" i="6"/>
  <c r="F77" i="6" s="1"/>
  <c r="F176" i="25" l="1"/>
  <c r="I18" i="5" s="1"/>
  <c r="H190" i="25"/>
  <c r="G190" i="25"/>
  <c r="F190" i="25"/>
  <c r="K18" i="5" s="1"/>
  <c r="J18" i="5"/>
  <c r="E190" i="25"/>
  <c r="K17" i="5" s="1"/>
  <c r="J17" i="5"/>
  <c r="F89" i="6"/>
  <c r="I165" i="24"/>
  <c r="I160" i="24"/>
  <c r="I161" i="24"/>
  <c r="I164" i="24"/>
  <c r="F94" i="6" l="1"/>
  <c r="F90" i="6"/>
  <c r="F85" i="6"/>
  <c r="F82" i="6"/>
  <c r="I166" i="24"/>
  <c r="I168" i="24" s="1"/>
  <c r="I181" i="24" s="1"/>
  <c r="F95" i="6" l="1"/>
  <c r="I189" i="24"/>
  <c r="I182" i="24"/>
  <c r="F96" i="6" l="1"/>
  <c r="M4" i="9"/>
  <c r="J23" i="5" s="1"/>
  <c r="J24" i="5" s="1"/>
  <c r="J19" i="5" l="1"/>
  <c r="K19" i="5"/>
  <c r="F27" i="24"/>
  <c r="F29" i="24" s="1"/>
  <c r="E29" i="24"/>
  <c r="F179" i="24" l="1"/>
  <c r="F149" i="24" s="1"/>
  <c r="E179" i="24"/>
  <c r="E149" i="24" s="1"/>
  <c r="E150" i="24" l="1"/>
  <c r="E155" i="24" s="1"/>
  <c r="F187" i="24"/>
  <c r="F150" i="24"/>
  <c r="F155" i="24" s="1"/>
  <c r="E187" i="24"/>
  <c r="E156" i="24" l="1"/>
  <c r="F156" i="24"/>
  <c r="F157" i="24" s="1"/>
  <c r="F180" i="24"/>
  <c r="F188" i="24" s="1"/>
  <c r="E180" i="24"/>
  <c r="E157" i="24" l="1"/>
  <c r="E164" i="24" s="1"/>
  <c r="F164" i="24"/>
  <c r="F161" i="24"/>
  <c r="F160" i="24"/>
  <c r="F165" i="24"/>
  <c r="E188" i="24"/>
  <c r="E161" i="24" l="1"/>
  <c r="E165" i="24"/>
  <c r="E160" i="24"/>
  <c r="F166" i="24"/>
  <c r="F168" i="24" s="1"/>
  <c r="F174" i="24" s="1"/>
  <c r="E166" i="24" l="1"/>
  <c r="E168" i="24" s="1"/>
  <c r="E181" i="24" s="1"/>
  <c r="E182" i="24" s="1"/>
  <c r="E190" i="24" s="1"/>
  <c r="F181" i="24"/>
  <c r="F182" i="24" s="1"/>
  <c r="F190" i="24" s="1"/>
  <c r="F175" i="24"/>
  <c r="F173" i="24" s="1"/>
  <c r="E174" i="24" l="1"/>
  <c r="E175" i="24"/>
  <c r="E173" i="24" s="1"/>
  <c r="F189" i="24"/>
  <c r="F176" i="24"/>
  <c r="F213" i="24" s="1"/>
  <c r="E189" i="24"/>
  <c r="E176" i="24" l="1"/>
  <c r="E206" i="24" s="1"/>
  <c r="F207" i="24"/>
  <c r="F206" i="24"/>
  <c r="F214" i="24"/>
  <c r="F205" i="24"/>
  <c r="F197" i="24"/>
  <c r="F209" i="24"/>
  <c r="F208" i="24"/>
  <c r="F198" i="24"/>
  <c r="F200" i="24"/>
  <c r="F196" i="24"/>
  <c r="F195" i="24"/>
  <c r="F204" i="24"/>
  <c r="F201" i="24"/>
  <c r="F220" i="24"/>
  <c r="F199" i="24"/>
  <c r="G29" i="24"/>
  <c r="J31" i="5" s="1"/>
  <c r="H27" i="24"/>
  <c r="H29" i="24" s="1"/>
  <c r="E209" i="24" l="1"/>
  <c r="M209" i="24" s="1"/>
  <c r="N209" i="24" s="1"/>
  <c r="O209" i="24" s="1"/>
  <c r="E199" i="24"/>
  <c r="M199" i="24" s="1"/>
  <c r="N199" i="24" s="1"/>
  <c r="O199" i="24" s="1"/>
  <c r="E198" i="24"/>
  <c r="M198" i="24" s="1"/>
  <c r="N198" i="24" s="1"/>
  <c r="O198" i="24" s="1"/>
  <c r="E202" i="24"/>
  <c r="E213" i="24"/>
  <c r="M213" i="24" s="1"/>
  <c r="N213" i="24" s="1"/>
  <c r="O213" i="24" s="1"/>
  <c r="E214" i="24"/>
  <c r="M214" i="24" s="1"/>
  <c r="N214" i="24" s="1"/>
  <c r="O214" i="24" s="1"/>
  <c r="E201" i="24"/>
  <c r="M201" i="24" s="1"/>
  <c r="N201" i="24" s="1"/>
  <c r="O201" i="24" s="1"/>
  <c r="E195" i="24"/>
  <c r="M195" i="24" s="1"/>
  <c r="N195" i="24" s="1"/>
  <c r="O195" i="24" s="1"/>
  <c r="E205" i="24"/>
  <c r="M205" i="24" s="1"/>
  <c r="N205" i="24" s="1"/>
  <c r="O205" i="24" s="1"/>
  <c r="E197" i="24"/>
  <c r="M197" i="24" s="1"/>
  <c r="N197" i="24" s="1"/>
  <c r="O197" i="24" s="1"/>
  <c r="M206" i="24"/>
  <c r="N206" i="24" s="1"/>
  <c r="O206" i="24" s="1"/>
  <c r="E196" i="24"/>
  <c r="M196" i="24" s="1"/>
  <c r="N196" i="24" s="1"/>
  <c r="O196" i="24" s="1"/>
  <c r="E204" i="24"/>
  <c r="M204" i="24" s="1"/>
  <c r="N204" i="24" s="1"/>
  <c r="O204" i="24" s="1"/>
  <c r="E220" i="24"/>
  <c r="M220" i="24" s="1"/>
  <c r="N220" i="24" s="1"/>
  <c r="O220" i="24" s="1"/>
  <c r="E207" i="24"/>
  <c r="M207" i="24" s="1"/>
  <c r="N207" i="24" s="1"/>
  <c r="O207" i="24" s="1"/>
  <c r="E200" i="24"/>
  <c r="M200" i="24" s="1"/>
  <c r="N200" i="24" s="1"/>
  <c r="O200" i="24" s="1"/>
  <c r="E208" i="24"/>
  <c r="M208" i="24" s="1"/>
  <c r="N208" i="24" s="1"/>
  <c r="O208" i="24" s="1"/>
  <c r="K31" i="5"/>
  <c r="H179" i="24"/>
  <c r="H149" i="24" s="1"/>
  <c r="G179" i="24"/>
  <c r="G149" i="24" s="1"/>
  <c r="G187" i="24" l="1"/>
  <c r="H187" i="24"/>
  <c r="H150" i="24"/>
  <c r="H155" i="24" s="1"/>
  <c r="G150" i="24" l="1"/>
  <c r="G155" i="24" s="1"/>
  <c r="J30" i="5"/>
  <c r="K30" i="5"/>
  <c r="H156" i="24"/>
  <c r="H157" i="24" s="1"/>
  <c r="H180" i="24"/>
  <c r="H188" i="24" s="1"/>
  <c r="G156" i="24" l="1"/>
  <c r="J37" i="5" s="1"/>
  <c r="G180" i="24"/>
  <c r="G188" i="24" s="1"/>
  <c r="H160" i="24"/>
  <c r="H165" i="24"/>
  <c r="H164" i="24"/>
  <c r="H161" i="24"/>
  <c r="K37" i="5" l="1"/>
  <c r="G157" i="24"/>
  <c r="G165" i="24" s="1"/>
  <c r="H166" i="24"/>
  <c r="H168" i="24" s="1"/>
  <c r="G164" i="24" l="1"/>
  <c r="G160" i="24"/>
  <c r="G161" i="24"/>
  <c r="H181" i="24"/>
  <c r="H174" i="24"/>
  <c r="H175" i="24"/>
  <c r="G166" i="24" l="1"/>
  <c r="G168" i="24" s="1"/>
  <c r="G175" i="24" s="1"/>
  <c r="G173" i="24" s="1"/>
  <c r="H173" i="24"/>
  <c r="H176" i="24"/>
  <c r="H189" i="24"/>
  <c r="H182" i="24"/>
  <c r="H190" i="24" s="1"/>
  <c r="G174" i="24" l="1"/>
  <c r="G181" i="24"/>
  <c r="G189" i="24" s="1"/>
  <c r="G176" i="24"/>
  <c r="G212" i="24" s="1"/>
  <c r="H217" i="24"/>
  <c r="H212" i="24"/>
  <c r="M212" i="24" l="1"/>
  <c r="N212" i="24" s="1"/>
  <c r="O212" i="24" s="1"/>
  <c r="G182" i="24"/>
  <c r="G190" i="24" s="1"/>
  <c r="G217" i="24"/>
  <c r="M217" i="24" s="1"/>
  <c r="N217" i="24" s="1"/>
  <c r="O217" i="24" s="1"/>
  <c r="E32" i="6" l="1"/>
  <c r="E43" i="6" s="1"/>
  <c r="E53" i="6" l="1"/>
  <c r="E33" i="6"/>
  <c r="E34" i="6" s="1"/>
  <c r="E54" i="6"/>
  <c r="E58" i="6"/>
  <c r="E48" i="6"/>
  <c r="E59" i="6" l="1"/>
  <c r="E88" i="6" s="1"/>
  <c r="E64" i="6" s="1"/>
  <c r="E66" i="6" l="1"/>
  <c r="E74" i="6" s="1"/>
  <c r="J42" i="5" s="1"/>
  <c r="J36" i="5"/>
  <c r="K36" i="5" s="1"/>
  <c r="E93" i="6"/>
  <c r="E69" i="6"/>
  <c r="J39" i="5" s="1"/>
  <c r="K39" i="5" s="1"/>
  <c r="E70" i="6"/>
  <c r="J40" i="5" s="1"/>
  <c r="K40" i="5" s="1"/>
  <c r="E73" i="6"/>
  <c r="J41" i="5" s="1"/>
  <c r="K41" i="5" s="1"/>
  <c r="J33" i="5" l="1"/>
  <c r="K33" i="5" s="1"/>
  <c r="K34" i="5" s="1"/>
  <c r="J34" i="5" l="1"/>
  <c r="K42" i="5"/>
  <c r="E75" i="6"/>
  <c r="E77" i="6" s="1"/>
  <c r="J43" i="5" l="1"/>
  <c r="J44" i="5" s="1"/>
  <c r="K43" i="5"/>
  <c r="K44" i="5" s="1"/>
  <c r="E89" i="6"/>
  <c r="E85" i="6" l="1"/>
  <c r="E82" i="6"/>
  <c r="E94" i="6"/>
  <c r="E90" i="6"/>
  <c r="E95" i="6" l="1"/>
  <c r="E9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Machry</author>
  </authors>
  <commentList>
    <comment ref="D56" authorId="0" shapeId="0" xr:uid="{00000000-0006-0000-0200-000001000000}">
      <text>
        <r>
          <rPr>
            <sz val="9"/>
            <color indexed="81"/>
            <rFont val="Segoe UI"/>
            <family val="2"/>
          </rPr>
          <t>Meta da Taxa Selic</t>
        </r>
      </text>
    </comment>
  </commentList>
</comments>
</file>

<file path=xl/sharedStrings.xml><?xml version="1.0" encoding="utf-8"?>
<sst xmlns="http://schemas.openxmlformats.org/spreadsheetml/2006/main" count="1375" uniqueCount="628">
  <si>
    <t>C</t>
  </si>
  <si>
    <t>B</t>
  </si>
  <si>
    <t>A</t>
  </si>
  <si>
    <t>D</t>
  </si>
  <si>
    <t>H</t>
  </si>
  <si>
    <t>G</t>
  </si>
  <si>
    <t>F</t>
  </si>
  <si>
    <t>E</t>
  </si>
  <si>
    <t>Remuneração mensal de capital</t>
  </si>
  <si>
    <t>Rastreador GPS</t>
  </si>
  <si>
    <t>Seguro contra terceiros</t>
  </si>
  <si>
    <t>Vistoria EPTC</t>
  </si>
  <si>
    <t>Licenciamento</t>
  </si>
  <si>
    <t>IPVA</t>
  </si>
  <si>
    <t>Custo estimado com manutenção</t>
  </si>
  <si>
    <t>Quantidade</t>
  </si>
  <si>
    <t>Preço por Litro - Óleo Motor</t>
  </si>
  <si>
    <t xml:space="preserve">Valor do Piso normativo da Categoria </t>
  </si>
  <si>
    <t xml:space="preserve">Sindicato representativo da categoria profissional </t>
  </si>
  <si>
    <t xml:space="preserve">Quantidade de horas noturnas reduzidas por mês  </t>
  </si>
  <si>
    <t xml:space="preserve">Quantidade de Horas Extras mensal  </t>
  </si>
  <si>
    <t xml:space="preserve">Férias e Adicional de Férias </t>
  </si>
  <si>
    <t xml:space="preserve">Participação do empregado no custo  </t>
  </si>
  <si>
    <t xml:space="preserve">Auxílio-Refeição/Alimentação   </t>
  </si>
  <si>
    <t xml:space="preserve">Valor do Auxílio-Alimentação   </t>
  </si>
  <si>
    <t xml:space="preserve">Assistência Médica e Familiar </t>
  </si>
  <si>
    <t xml:space="preserve">Valor previsto em CCT/ACT  </t>
  </si>
  <si>
    <t xml:space="preserve">Seguro de vida em grupo  </t>
  </si>
  <si>
    <t xml:space="preserve">Auxílio-Funeral    </t>
  </si>
  <si>
    <t xml:space="preserve">Cesta Básica  </t>
  </si>
  <si>
    <t xml:space="preserve">Plano de Benefício Social Familiar </t>
  </si>
  <si>
    <t xml:space="preserve">Incidência do FGTS sobre Aviso Prévio indenizado </t>
  </si>
  <si>
    <t xml:space="preserve">Incidência da Multa e CS s/ FGTS incidente no API </t>
  </si>
  <si>
    <t xml:space="preserve">Aviso prévio trabalhado  </t>
  </si>
  <si>
    <t xml:space="preserve">Incidência dos encargos do submódulo 2.2 sobre item D  </t>
  </si>
  <si>
    <t xml:space="preserve">Multa sobre FGTS e contribuições sociais incidentes </t>
  </si>
  <si>
    <t xml:space="preserve">Substituto na cobertura de férias  </t>
  </si>
  <si>
    <t xml:space="preserve">Substituto na cobertura de licença paternidade </t>
  </si>
  <si>
    <t xml:space="preserve">Substituto na cobertura das ausências legais </t>
  </si>
  <si>
    <t xml:space="preserve">Substituto na cobertura de afastamento maternidade </t>
  </si>
  <si>
    <t xml:space="preserve">Inclusão custo M3 (Provisão para Rescisão) para substitutos  </t>
  </si>
  <si>
    <t>Código</t>
  </si>
  <si>
    <t>Material</t>
  </si>
  <si>
    <t>Valor (R$)</t>
  </si>
  <si>
    <t>FAP</t>
  </si>
  <si>
    <t>COFINS</t>
  </si>
  <si>
    <t>ISSQN</t>
  </si>
  <si>
    <t>12x36 Diurno</t>
  </si>
  <si>
    <t>12x36 Noturno</t>
  </si>
  <si>
    <t>RAT</t>
  </si>
  <si>
    <t>Considerado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</si>
  <si>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</si>
  <si>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</si>
  <si>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</si>
  <si>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</si>
  <si>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</si>
  <si>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</si>
  <si>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</si>
  <si>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13º salário</t>
  </si>
  <si>
    <t>Tempo de depreciação</t>
  </si>
  <si>
    <t>Lucro Real</t>
  </si>
  <si>
    <t>Lucro Presumido</t>
  </si>
  <si>
    <t>Adicional Noturno</t>
  </si>
  <si>
    <t>Dias Mês</t>
  </si>
  <si>
    <t>Dias Semana</t>
  </si>
  <si>
    <t>Horas Semana</t>
  </si>
  <si>
    <t xml:space="preserve">Nome da Empresa: </t>
  </si>
  <si>
    <t>Endereço da Empresa:</t>
  </si>
  <si>
    <t>Nome do Responsável:</t>
  </si>
  <si>
    <t>Dados Bancários:</t>
  </si>
  <si>
    <t>Horas noturnas Máximas</t>
  </si>
  <si>
    <t>Regime</t>
  </si>
  <si>
    <t>Posto</t>
  </si>
  <si>
    <t>Tempo de Duração do Contrato:</t>
  </si>
  <si>
    <t>Regime Tributário</t>
  </si>
  <si>
    <t xml:space="preserve">CNPJ Matriz: </t>
  </si>
  <si>
    <t>Endereço eletrônico:</t>
  </si>
  <si>
    <t>Telefone:</t>
  </si>
  <si>
    <t>PREFEITURA MUNICIPAL DE PORTO ALEGRE</t>
  </si>
  <si>
    <t>Data base da categoria</t>
  </si>
  <si>
    <t xml:space="preserve">Registro no MTE </t>
  </si>
  <si>
    <t>Classificação Brasileira de Ocupações (CBO)</t>
  </si>
  <si>
    <t>Incidência no Submódulo 2.2 sobre 13º salário e Férias</t>
  </si>
  <si>
    <t>Gratificação de Função</t>
  </si>
  <si>
    <t>Descanso Semanal Remunerado</t>
  </si>
  <si>
    <t xml:space="preserve">Sobre Horas Extras  </t>
  </si>
  <si>
    <t xml:space="preserve">Sobre Adicional Noturno e Hora Noturna Reduzida </t>
  </si>
  <si>
    <t>Número de horas noturnas por dia</t>
  </si>
  <si>
    <t xml:space="preserve">Auxílio Transporte                                                   </t>
  </si>
  <si>
    <t>Valor da passagem do transporte coletivo</t>
  </si>
  <si>
    <t>Quantidade de dias do mês de recebimento</t>
  </si>
  <si>
    <t>Inclusão benefícios Mensais e Diários</t>
  </si>
  <si>
    <t>Base de incindência</t>
  </si>
  <si>
    <t>Percentual de incidência</t>
  </si>
  <si>
    <t>Incidência dos encargos do submódulo 2.2</t>
  </si>
  <si>
    <t>Artigo 457 e 458 da CLT.</t>
  </si>
  <si>
    <t>Salário Base x 30%</t>
  </si>
  <si>
    <t>Súmula 132 TST. Artigo 193 a 197 da CLT. Artigo 7º, inciso XXIII da CF. NR 16 do MTE.</t>
  </si>
  <si>
    <t>Regras do instrumento coletivo da categoria, se houver. Artigo 189 a 192 da CLT (10%, 20% ou 40%). NR 15 do MTE. Súmula nº. 139 do TST.</t>
  </si>
  <si>
    <t xml:space="preserve">Adicional Noturno </t>
  </si>
  <si>
    <t>Artigo 73 da CLT e artigo 7º, inciso IX da CF. Súmula nº 60 do TST e OJ-SDI1-259 do TST.</t>
  </si>
  <si>
    <t>Artigo 7º, inciso XVI, da CF/88. Artigo 59 da CLT. Súmulas 60 e 132 TST.</t>
  </si>
  <si>
    <t>Art. 7º, VIII, CF/88. Decreto n. 57.155, de 3/11/1965</t>
  </si>
  <si>
    <t xml:space="preserve">Art. 7º, XVII, CF/88; </t>
  </si>
  <si>
    <r>
      <t>Art. 22, Inciso I, da Lei nº 8.212/91.</t>
    </r>
    <r>
      <rPr>
        <b/>
        <sz val="11"/>
        <rFont val="Calibri"/>
        <family val="2"/>
        <scheme val="minor"/>
      </rPr>
      <t xml:space="preserve"> (3) Lei 13.161/2015 - Contribuição Previdenciária sobre a Receita Bruta (CPRB)</t>
    </r>
  </si>
  <si>
    <t>Anexo II da IN RFB n. 971/09; art. 30 da Lei n° 8.036/90; art. 1°da Lei n° 8.154/90; art. 240 da Constituição Federal.</t>
  </si>
  <si>
    <t>Anexo II da IN RFB n. 971/09; Decreto n.º 2.318/86</t>
  </si>
  <si>
    <t>Anexo II da IN RFB n. 971/09; Lei n.º 7.787/89; DL n.º 1.146/70; Lei Complementar nº 11/71.</t>
  </si>
  <si>
    <t>Anexo II da IN RFB n. 971/09; art. 3°, inciso I do Decreto n° 87.043/1982; art. 15 – Lei nº 9.424/96; art. 1º § 1º - Decreto Nº 6.003/2006; art. 212 § 5º da Constituição Federal; Súmula Nº 732 do STF.</t>
  </si>
  <si>
    <t>Anexo V do Regulamento da Previdência Social – RPS (Decreto n. 3.048/1999) e regras de enquadramento dispostas na Instrução Normativa RFB n. 971/2009 e/ou legislação superveniente. Súmula 351 do STJ.</t>
  </si>
  <si>
    <t>Anexo II da IN RFB n. 971/09. Art. 8º, Lei n.º 8.029/90 e Lei n.º 8154/90</t>
  </si>
  <si>
    <t>Artigo 4º, § único, da Lei nº 7.418/85 e art. 9º do Decreto nº 95.247/87.</t>
  </si>
  <si>
    <t>Artigo 458, §§ 2º e 3º, da CLT, Lei nº 6.321/76, Decreto nº 5/91 e CCT.</t>
  </si>
  <si>
    <t>Artigo 458, inciso IV da CLT e CCT</t>
  </si>
  <si>
    <t>Art. 7º, XXI, CF/88. Art. 477, 487 e 491 da CLT. Lei n. 12.506/2011.</t>
  </si>
  <si>
    <t>Súmula 305 TST.</t>
  </si>
  <si>
    <t>Art. 18 da Lei 8.036/90. Art. 12 da Lei 13.932/2019.</t>
  </si>
  <si>
    <t xml:space="preserve">Art. 7º, XXI, CF/88, 477,487 e 491 CLT. Acórdãos n. 1904/2007-TCU-Plenário e n. 3006/2010-TCU-Plenário </t>
  </si>
  <si>
    <t>((0,3680 x 0,0198) x 100) ≅  0,73%</t>
  </si>
  <si>
    <t xml:space="preserve">Acórdãos n. 1904/2007-TCU-Plenário e n. 3006/2010-TCU-Plenário </t>
  </si>
  <si>
    <t xml:space="preserve">Art. 12 da Lei 13.932/2019. Acórdãos n. 1904/2007-TCU-Plenário e n. 3006/2010-TCU-Plenário </t>
  </si>
  <si>
    <t>Art. 129 e 130 CLT.</t>
  </si>
  <si>
    <t>Art.131 , inciso III, da CLT. Art. 476 da CLT, art. 6º, §1º, alínea "f", da Lei n. 605, de 1949, e  art. 12, alínea "f", do Decreto n. 27.048, de 1949.</t>
  </si>
  <si>
    <t>Art. 7º, inciso XIX da CF. §1º do artigo 10 do ADCT. Lei n. 13.527/2016</t>
  </si>
  <si>
    <t>Art. 82 e 473 da CLT</t>
  </si>
  <si>
    <t>Art. 27 do Dec. 89312/84, Art. 131 da CLT e MP. 664/2014</t>
  </si>
  <si>
    <t>Art. 7º inc. XVIII, CF, Lei 8.213/91, art. 72 e Lei 11770/2008. Lei n. 13.527/2016.</t>
  </si>
  <si>
    <t>Intervalo para repouso ou alimentação</t>
  </si>
  <si>
    <t>Se não houver previsão de jantista/almocista e, assim, o empregado não usufruir de seu intervalo intrajornada em razão de trabalhar em período destinado a repouso e alimentação, o valor a ser pago é da hora trabalhada acrescida de 50%, considerada a natureza indenizatória da parcela.</t>
  </si>
  <si>
    <t>Rendição no Intervalo Intrajornada</t>
  </si>
  <si>
    <t>Esta rubrica somente será calculada se houver reposição por um substituto durante a ausência do empregado, no período de intervalo para repouso/alimentação. Para o cálculo dessa forma, o valor aportado será o correspondente ao período trabalhado no intervalo, com as incidências legais, por se tratar de salário pago ao substituto</t>
  </si>
  <si>
    <t>Regras do instrumento coletivo da categoria, se houver (conforme incs. III e VIII do art. 611-A da CLT, o instrumento coletivo de trabalho tem prevalência sobre a lei). Artigo 71 da CLT. Lei 8.121/1991.</t>
  </si>
  <si>
    <t>Incidência</t>
  </si>
  <si>
    <t>Valor a Deduzir</t>
  </si>
  <si>
    <t>PIS/PASEP</t>
  </si>
  <si>
    <t>Quantidade de passagens por dia</t>
  </si>
  <si>
    <t>Participação do empregado no custo</t>
  </si>
  <si>
    <t>Local</t>
  </si>
  <si>
    <t>Forma de Pagamento do Contrato:</t>
  </si>
  <si>
    <t>(Salário base+adicionais previstos em lei ou CCT, se houver) ÷ total nº horas trabalhadas) x 1,5 x quantidade de dias trabalhados</t>
  </si>
  <si>
    <t xml:space="preserve">((Salário base+adicionais previstos em lei ou CCT, se houver)+ Submódulo 2.2 + submódulo 2.3 + Uniformes e EPI) x quantidade de dias trabalhados </t>
  </si>
  <si>
    <t>I</t>
  </si>
  <si>
    <t>Outros (especificar)</t>
  </si>
  <si>
    <t>TOTAL MÓDULO 2</t>
  </si>
  <si>
    <t>TOTAL MÓDULO 3</t>
  </si>
  <si>
    <t>TOTAL SUBMÓDULO 2.3</t>
  </si>
  <si>
    <t>TOTAL SUBMÓDULO 2.2</t>
  </si>
  <si>
    <t>TOTAL SUBMÓDULO 2.1</t>
  </si>
  <si>
    <t>TOTAL SUBMÓDULO 4.1</t>
  </si>
  <si>
    <t>TOTAL SUBMÓDULO 4.2</t>
  </si>
  <si>
    <t>TOTAL MÓDULO 4</t>
  </si>
  <si>
    <t>SINDASSEIO</t>
  </si>
  <si>
    <t>MÓDULO 2 - ENCARGOS E BENEFÍCIOS ANUAIS, MENSAIS E DIÁRIOS</t>
  </si>
  <si>
    <t>SUBMÓDULO 2.1 - 13º Salário, Férias e Adicional de Férias</t>
  </si>
  <si>
    <t>SUBMÓDULO 2.3 - Encargos e Benefícios Anuais, Mensais e Diários</t>
  </si>
  <si>
    <t>MÓDULO 3 - PROVISÃO PARA RESCISÃO</t>
  </si>
  <si>
    <t>MÓDULO 4 - CUSTO DE REPOSIÇÃO DO PROFISSIONAL AUSENTE</t>
  </si>
  <si>
    <t>SUBMÓDULO 4.2- Intervalo intrajornada</t>
  </si>
  <si>
    <t>Regime tributário</t>
  </si>
  <si>
    <t>Faixa 1</t>
  </si>
  <si>
    <t>Faixa 6</t>
  </si>
  <si>
    <t>Faixa 5</t>
  </si>
  <si>
    <t>Faixa 4</t>
  </si>
  <si>
    <t>Faixa 3</t>
  </si>
  <si>
    <t>Faixa 2</t>
  </si>
  <si>
    <t>Adicional de Troca de Uniforme</t>
  </si>
  <si>
    <t>Sobre Adicional de Troca de Uniforme</t>
  </si>
  <si>
    <t>Adicional de Hora Noturna Reduzida</t>
  </si>
  <si>
    <t>J</t>
  </si>
  <si>
    <t>Número de dias laborados a noite</t>
  </si>
  <si>
    <t>FUNDAMENTO</t>
  </si>
  <si>
    <t xml:space="preserve">Salário Base Mensal </t>
  </si>
  <si>
    <t xml:space="preserve">Adicional Periculosidade </t>
  </si>
  <si>
    <t>O percentual definido pelo art. 193 da CLT, deve ser calculados sobre salário base  sem os acréscimos resultantes de gratificações, prêmios ou participações nos lucros da empresa, com exceção à categoria dos eletricitários, em que o cálculo deverá ser feito sobre a totalidade das parcelas de natureza salarial.  A caracterização e a classificação da periculosidade far-se-ão por meio de perícia a cargo de Médico do Trabalho ou Engenheiro do Trabalho registrados no Ministério do Trabalho. A Norma Regulamentadora nº 16 estabelece em seus anexos as atividades e as operações perigosas que acarretam ao recebimento do adicional de periculosidade pelo empregado. As Leis Lei nºs 12.740/2012 e 12.997/2014 estenderam o adicional de periculosidade, respectivamente, às atividades profissionais de segurança pessoal ou patrimonial e trabalhador em motocicleta.</t>
  </si>
  <si>
    <t xml:space="preserve">Adicional Insalubridade </t>
  </si>
  <si>
    <r>
      <t xml:space="preserve">Salário </t>
    </r>
    <r>
      <rPr>
        <b/>
        <sz val="11"/>
        <rFont val="Calibri"/>
        <family val="2"/>
        <scheme val="minor"/>
      </rPr>
      <t xml:space="preserve">Mínimo ou Base estipulado em instrumento coletivo </t>
    </r>
    <r>
      <rPr>
        <sz val="11"/>
        <rFont val="Calibri"/>
        <family val="2"/>
        <scheme val="minor"/>
      </rPr>
      <t xml:space="preserve"> x (10%, 20% ou 40%)</t>
    </r>
  </si>
  <si>
    <t xml:space="preserve"> Os percentuais definidos pelo art. 192 da CLT, segundo as classificações nos graus máximo, médio e mínimo, devem ser calculados com base no salário mínimo, salvo critério mais vantajoso estabelecido em lei ou em instrumento coletivo de trabalho (Súmula Vinculante n. 4). O direito ao recebimento do adicional somente pode ser reconhecido mediante laudo pericial que aponte estar a atividade insalubre prevista na relação oficial elaborada pelo Ministério do Trabalho, tal como definido pela NR-15 da Portaria n. 3.214 de 1978. </t>
  </si>
  <si>
    <t>Salário Base x % de incidência</t>
  </si>
  <si>
    <t>Informada na Convenção Coletiva de Trabalho da categoria profissional a ser contratada.</t>
  </si>
  <si>
    <t>(Salário base + adicionais periculosidade/insalubridade) ÷ total de horas mensais (conforme jornada de trabalho da categoria) x 20% x qtde. de horas noturnas x qtde de dias laborados a noite).</t>
  </si>
  <si>
    <t>Qtde. de horas noturnas x qtde de dias laborados a noite x 0,142857 x (Salário base + adicionais periculosidade/insalubridade) ÷ total de horas mensais x 120%</t>
  </si>
  <si>
    <t>Horas Extras (com adicionais)</t>
  </si>
  <si>
    <t>(Salário base + adicionais periculosidade/insalubridade/noturno ) ÷ total de horas mensais (conforme jornada de trabalho da categoria) x %de incidência x qtde. de horas extras mensal).</t>
  </si>
  <si>
    <t>(Adicional noturmo + Adicional de hora reduzida+Horas extras+ Adicional de troca de uniforme) x 20%</t>
  </si>
  <si>
    <t>Artigos 1º e 6º Lei nº 605/1949</t>
  </si>
  <si>
    <t xml:space="preserve">Adicional de Troca de Uniforme </t>
  </si>
  <si>
    <t>(Salário base + adicionais periculosidade) ÷ (total de horas mensais (conforme jornada de trabalho da categoria) ÷ 6) x  qtde de dias</t>
  </si>
  <si>
    <t>Súmula nº 366 do TST</t>
  </si>
  <si>
    <t>Gratificação de Natal, instituída pela Lei nº 4.090, de 13 de julho de 1962. O percentual dessa rubrica pode ser obtido pelo cálculo: ((1/12) x 100) = 8,33%.</t>
  </si>
  <si>
    <t>A Constituição Federal, em seu art. 7º, inciso XVII, prevê que as férias sejam pagas com adicional de, pelo menos, 1/3 (um terço) da remuneração do mês. Assim, a provisão para atender as despesas relativas as férias e adicional de férias corresponde a: ((1/12) x 100) + ((1/3) x (1/12) x 100) ≅ 11,11%</t>
  </si>
  <si>
    <t>SUBMÓDULO  2.2 - Encargos Previdenciários e FGTS e Outras Contribuições</t>
  </si>
  <si>
    <t>Art. 15, Lei nº 8.036/90 e Art. 7º, III</t>
  </si>
  <si>
    <r>
      <rPr>
        <b/>
        <sz val="11"/>
        <color theme="1"/>
        <rFont val="Calibri"/>
        <family val="2"/>
        <scheme val="minor"/>
      </rPr>
      <t xml:space="preserve">GILL/RAT </t>
    </r>
    <r>
      <rPr>
        <sz val="11"/>
        <color theme="1"/>
        <rFont val="Calibri"/>
        <family val="2"/>
        <scheme val="minor"/>
      </rPr>
      <t xml:space="preserve">é a sigla correspondente à Contribuição do Grau de Incidência de Incapacidade Laborativa decorrente dos Riscos Ambientais do Trabalho (o antigo Seguro de Acidente de Trabalho - SAT). A contribuição GILL/RAT é apurada por meio de um indicador criado pela Receita Federal: o RAT Ajustado. Sendo assim, em regra, considera-se para fins de definição da planilha modelo que GILL/RAT = SAT = RAT Ajustado. O cálculo do RAT ajustado é feito mediante aplicação da fórmula: RAT ajustado = RAT x FAP. A aplicação mínima ou máxima do FAP (0,5 a 2,00) sobre as alíquotas do RAT (1% a 3%) levará o percentual ajustado do RAT a uma variação entre 0,5% a 6%. A licitante deve preencher o item G do Submódulo 2.2 das planilhas analíticas de custos e formação de preços com o valor de seu RAT ajustado comprovando o percentual indicado no momento da apresentação da proposta na forma prescrita no edital e nestas notas explicativas.
</t>
    </r>
    <r>
      <rPr>
        <b/>
        <sz val="11"/>
        <color theme="1"/>
        <rFont val="Calibri"/>
        <family val="2"/>
        <scheme val="minor"/>
      </rPr>
      <t xml:space="preserve">RAT </t>
    </r>
    <r>
      <rPr>
        <sz val="11"/>
        <color theme="1"/>
        <rFont val="Calibri"/>
        <family val="2"/>
        <scheme val="minor"/>
      </rPr>
      <t xml:space="preserve">(Riscos Ambientais do Trabalho) contém as alíquotas de 1%, 2% ou 3%, apurada com base na atividade preponderante da empresa (CNAE), deverá ser esclarecida e comprovada quando solicitado pelo pregoeiro, conforme Anexo V do Regulamento da Previdência Social – RPS (Decreto n. 3.048/1999) e regras de  enquadramento dispostas na Instrução Normativa RFB n. 971/2009 e/ou legislação superveniente.
</t>
    </r>
    <r>
      <rPr>
        <b/>
        <sz val="11"/>
        <color theme="1"/>
        <rFont val="Calibri"/>
        <family val="2"/>
        <scheme val="minor"/>
      </rPr>
      <t>FAP</t>
    </r>
    <r>
      <rPr>
        <sz val="11"/>
        <color theme="1"/>
        <rFont val="Calibri"/>
        <family val="2"/>
        <scheme val="minor"/>
      </rPr>
      <t xml:space="preserve"> (Fator Acidentário de Prevenção) multiplicador variável num intervalo de 0,5 a 2,00 calculado anualmente pelo INSS considerando o número de acidentes do trabalho e doenças profissionais de cada empresa (Decreto nº 6.957/2009). Essa alíquota deverá ser comprovada mediante a apresentação do multiplicador FAP (FapWeb) vigente no momento da contratação, cujo valor é obtido no site da previdência social por meio de acesso individual da proponente.</t>
    </r>
  </si>
  <si>
    <t xml:space="preserve">(Valor do Auxílio-Alimentação  x Quantidade de dias do mês de recebimento de auxílio-alimentação) - (Valor do Auxílio-Alimentação  x Quantidade de dias do mês de recebimento de auxílio-alimentação x Participação do empregado no custo ) </t>
  </si>
  <si>
    <t>Valor previsto em CCT/ACT/TR</t>
  </si>
  <si>
    <t xml:space="preserve">(Valor da passagem  x Quantidade de passagens por dia por empregado x Quantidade de dias trabalhados) - (Participação do empregado no custo x Salário base ) </t>
  </si>
  <si>
    <t>(Valor previsto em CCT/ACT x Participação do empregado no custo)</t>
  </si>
  <si>
    <t xml:space="preserve"> Deve ser observado o instrumento coletivo para a fixação do percentual de desconto do empregado.</t>
  </si>
  <si>
    <t>Trata-se de valor devido ao empregado no caso de o empregador rescindir o contrato sem justo motivo e sem lhe conceder aviso prévio, conforme disposto no § 1º do art. 487 da CLT. De acordo com levantamento efetuado em diversos contratos, cerca de 5% do pessoal é demitido pelo empregador, antes do término do contrato de trabalho. Cálculo ((1/12)x 0,05) x 100 ≅ 0,42%.</t>
  </si>
  <si>
    <t>Considera-se que será pago ao final do contrato aviso prévio a 100% dos empregados alocados e que 2% do pessoal é demitido pelo empregador antes do final do contrato (acórdão TCU 6.777/2099 - 2ª Câmara). Assim sendo, há redução de 7 dias ou de 2h por dia {[(7/30)/12]* 0,02} + [(7/30)/12] ≅ 1,98 % para 30 dias de aviso prévio no primeiro ano. (7 dias custo do APT ÷ 30 Dias do mês÷ 12 meses) x indicador  demissões antes término contrato(2%) + (7 dias custo do APT ÷ 30 Dias do mês÷ 12 meses) x indicador  demissões antes término contrato(2%)</t>
  </si>
  <si>
    <t>O custo do aviso prévio trabalhado é acrescido da multa do FGTS (40%) que incide sobre a alíquota do FGTS (8%) aplicada sobre o custo de referência para o aviso trabalhado.
 O art. 12 da Lei n. 13.932/2019 extiguiu a cobraça da contribuição de 10% devida pelos empregadores em caso de despedida sem justa causa (art. 1º da Lei Complementar 110/2001). Sendo assim, o adicional que era previsto nos itens "C" e "F" com o título "Multa do FGTS e contribuição social sobre Aviso Prévio [...]" passou a ser denominado somente de "Multa do FGTS sobre Aviso Prévio [..]"</t>
  </si>
  <si>
    <t>(0,08 x 0,0042)  ≅ 0,03%</t>
  </si>
  <si>
    <t>(0,08 x 0,0042) x 0,40 ≅ 0,0134</t>
  </si>
  <si>
    <t xml:space="preserve"> Considera-se como média de dias de substituição o somatório dos 30 dias de férias, 2,96 dias de ausências legais e 5 dias de axílio doença.</t>
  </si>
  <si>
    <t xml:space="preserve"> (A+B.+C+D+E+F) x submódulo 2.2</t>
  </si>
  <si>
    <t>Total Remuneração (módulo 1) X 0,04</t>
  </si>
  <si>
    <t>((30÷30)÷12)X0,05 ≅ 0,42%</t>
  </si>
  <si>
    <t>((1÷12) x 100) ≅ 8,33%</t>
  </si>
  <si>
    <t>((1÷12) x 100) + ((1÷3) x (1÷12) x 100) ≅ 11,11%</t>
  </si>
  <si>
    <t>((1÷12) x 100)  + ((1÷12) x 100) + ((1÷3) x (1÷12) x 100) x Submódulo 2.2</t>
  </si>
  <si>
    <t>((5÷30) ÷12) x 100) ≅ 1,39%</t>
  </si>
  <si>
    <t>(((5÷30) ÷12) x 0,015 x 100) ≅ 0,02%</t>
  </si>
  <si>
    <t>(((2,96÷30) ÷12) x 100) ≅ 0,82%</t>
  </si>
  <si>
    <t>(((15÷30) ÷12) x 0,0078 x 100) ≅ 0,03%</t>
  </si>
  <si>
    <t>((1÷12)+((1÷3)x(1÷12)))x(4÷12)x0,01854033 ≅ 0,07%</t>
  </si>
  <si>
    <t>(Módulo 3 )÷12 x média de dias de substituição ÷ 30)</t>
  </si>
  <si>
    <t xml:space="preserve">Submódulo 4.1 - Substituto nas Ausências Legais - Base de cálculo para o custo do profissional ausente (substituto): BCCPA = (Rem + 13º sal + Férias + 1/3)x Item Reposição . Conforme item 89 do Relatório do Acórdão TCU nº 1.753/2008 do Plenário e orientações SEGES/MP </t>
  </si>
  <si>
    <t>Pagamento de 20% sobre as variáveis, conforme Cláusula 32ª da CCT 2018/2020 (adicional noturno, adicional de hora noturna reduzida e adicional para troca de uniforme).</t>
  </si>
  <si>
    <t>O tempo despreendido para a troca de uniforme será remunerado (5 minutos para colocar e 5 minutos para retirar) na proporção de 1/6 do valor da hora normal de trabalho.</t>
  </si>
  <si>
    <t xml:space="preserve">A jornada noturna é compreendida entre 22h da noite e 05h da manhã seguinte (considerando que a hora noturna corresponde a 52,5min) , com remuneração adicional de 20%, de acordo com  o Art.73 da CLT. </t>
  </si>
  <si>
    <t xml:space="preserve"> Deve ser observado o instrumento coletivo.</t>
  </si>
  <si>
    <t>Esse item corresponde ao valor da multa do FGTS (40%) que incide sobre o saldo dos depósitos efetuados na conta vinculada ao FGTS do trabalhador.  Logo o pagamento da multa para os valores depositados relativos a salários, férias e 13º salário corresponde a:((0,08 x 0,0042) x 100) x 0,40 ≅ 0,0134</t>
  </si>
  <si>
    <t>Outras remunerações  (especificar)</t>
  </si>
  <si>
    <t xml:space="preserve"> Considera-se como média de dias de substituição o somatório dos 30 dias de férias, 2,96 dias de ausências legais e 5 dias de auxílio doença.</t>
  </si>
  <si>
    <t>Custos Indiretos</t>
  </si>
  <si>
    <t>Os tributos (ISS, COFINS e PIS) foram definidos utilizando o regime de tributação de Lucro Presumido A licitante deve elaborar sua proposta e, por conseguinte, sua planilha com base no regime de tributação ao qual estará submetida durante a execução do contrato.</t>
  </si>
  <si>
    <t>Considerando os estudos realizados, o presente modelo utiliza o percentual máximo de 10,00% para margem de lucro. NOTA TÉCNICA Nº 1/2007 – SCI, da Secretaria de Controle Interno do Supremo Tribunal Federal.</t>
  </si>
  <si>
    <t xml:space="preserve">Considerando os estudos realizados, o presente modelo utiliza o percentual máximo de 5,00% para custos indiretos. NOTA TÉCNICA Nº 1/2007 – SCI, da Secretaria de Controle Interno do Supremo Tribunal Federal </t>
  </si>
  <si>
    <t>MÓDULO 1: COMPOSIÇÃO DA REMUNERAÇÃO</t>
  </si>
  <si>
    <t>Composição da Remuneração</t>
  </si>
  <si>
    <t>SUBMÓDULO 4.1 - Substituto nas Ausências Legais
 BCCPA: Base de cálculo para o custo do profissional ausente</t>
  </si>
  <si>
    <t>DADOS REFERENTES À CONTRATAÇÃO</t>
  </si>
  <si>
    <t>Objeto:</t>
  </si>
  <si>
    <t>Processo SEI nº:</t>
  </si>
  <si>
    <t xml:space="preserve">Pregão Eletrônico nº: </t>
  </si>
  <si>
    <t>Nº</t>
  </si>
  <si>
    <t>Adicional de Periculosidade</t>
  </si>
  <si>
    <t>Adicional de Insalubridade</t>
  </si>
  <si>
    <t xml:space="preserve">Substituto na cobertura das ausências por doença </t>
  </si>
  <si>
    <t xml:space="preserve">Substituto na cobertura nas ausências por acidente de trabalho </t>
  </si>
  <si>
    <t>Salário-Base</t>
  </si>
  <si>
    <t>Dias na Semana</t>
  </si>
  <si>
    <t>Dias no Ano</t>
  </si>
  <si>
    <t>Dias no Mês</t>
  </si>
  <si>
    <t xml:space="preserve">Meses no Ano </t>
  </si>
  <si>
    <t>Hora Normal (em minutos)</t>
  </si>
  <si>
    <t>Hora Noturna (em minutos)</t>
  </si>
  <si>
    <t>Faturamento máximo</t>
  </si>
  <si>
    <t xml:space="preserve">Percentual da faixa </t>
  </si>
  <si>
    <t>Dados Estatísticos</t>
  </si>
  <si>
    <t>Funcionários demitidos sem justa causa / Total de desligamentos (em %)</t>
  </si>
  <si>
    <t>Multa do FGTS (em %)</t>
  </si>
  <si>
    <t>Empregados que recebem aviso prévio trabalhado durante o contrato (em %)</t>
  </si>
  <si>
    <t>Empregados que recebem aviso prévio trabalhadono final  do contrato (em %)</t>
  </si>
  <si>
    <t>Dias APT pagos</t>
  </si>
  <si>
    <t>Dias de Ausências por Doença</t>
  </si>
  <si>
    <t>Dias de Licença-Paternidade</t>
  </si>
  <si>
    <t>Trabalhadores com direito a  Licença-Paternidade (%)</t>
  </si>
  <si>
    <t>Dias de Ausências Legais</t>
  </si>
  <si>
    <t>Empregados afastados por acidente de trabalho (em %)</t>
  </si>
  <si>
    <t>Dias pagos pela empresa em acidentes de trabalho</t>
  </si>
  <si>
    <t>Tempo de Licença-Maternidade</t>
  </si>
  <si>
    <t>Rateio do Custo  da Licença-Maternidade durante Vigência Contratual</t>
  </si>
  <si>
    <t>Total de empregos RS (2020)</t>
  </si>
  <si>
    <t>Mulheres empregadas RS (2020)</t>
  </si>
  <si>
    <t>Quantidade de licenças maternidade concedidas (2020)</t>
  </si>
  <si>
    <t>% Licenças maternidade concedidas</t>
  </si>
  <si>
    <t>% Mulheres empregadas RS (2020)</t>
  </si>
  <si>
    <t>MÓDULO 6 - CUSTOS INDIRETOS, LUCRO E TRIBUTOS</t>
  </si>
  <si>
    <t xml:space="preserve">Custo estimado do afastamento maternidade </t>
  </si>
  <si>
    <t>TOTAL MÓDULO 5</t>
  </si>
  <si>
    <t>TOTAL MÓDULO 6</t>
  </si>
  <si>
    <t>Aviso prévio indenizado</t>
  </si>
  <si>
    <t>VALOR TOTAL ESTIMADO DO CONTRATO</t>
  </si>
  <si>
    <t xml:space="preserve">SUBMÓDULO 2.2- Encargos Previdenciários (GPS) e FGTS </t>
  </si>
  <si>
    <t>Material Individual e Uniformes</t>
  </si>
  <si>
    <t>Material Coletivo e Equipamentos</t>
  </si>
  <si>
    <t>MÓDULO 6 - CUSTOS INDIRETOS</t>
  </si>
  <si>
    <t>Custos administrativos</t>
  </si>
  <si>
    <t>Lucros</t>
  </si>
  <si>
    <t>K</t>
  </si>
  <si>
    <t>SUBMÓDULO 6.1 - Custos administrativos e lucros</t>
  </si>
  <si>
    <t>TOTAL SUBMÓDULO 6.1</t>
  </si>
  <si>
    <t>TOTAL SUBMÓDULO 6.2</t>
  </si>
  <si>
    <t>Custos com mão de obra</t>
  </si>
  <si>
    <t>SECRETARIA DE PLANEJAMENTO E ASSUNTOS ESTRATÉGICOS</t>
  </si>
  <si>
    <t>SECRETARIA DE ADMINISTRAÇÃO E PATRIMÔNIO</t>
  </si>
  <si>
    <t>SECRETARIA DA TRANSPARÊNCIA E CONTROLADORIA</t>
  </si>
  <si>
    <t>SECRETARIA DE GOVERNANÇA LOCAL E COORDENAÇÃO POLÍTICA</t>
  </si>
  <si>
    <t>SECRETARIA DA FAZENDA</t>
  </si>
  <si>
    <t>SECRETARIA DE PARCERIAS</t>
  </si>
  <si>
    <t>PROCURADORIA-GERAL DO MUNICÍPIO</t>
  </si>
  <si>
    <t>SECRETARIA DE SERVIÇOS URBANOS</t>
  </si>
  <si>
    <t>SECRETARIA DE OBRAS E INFRAESTRUTURA</t>
  </si>
  <si>
    <t>SECRETARIA DE MOBILIDADE URBANA</t>
  </si>
  <si>
    <t>SECRETARIA DE DESENVOLVIMENTO ECONÔMICO E TURISMO</t>
  </si>
  <si>
    <t>SECRETARIA DE MEIO AMBIENTE, URBANISMO E SUSTENTABILIDADE</t>
  </si>
  <si>
    <t>SECRETARIA DA CULTURA</t>
  </si>
  <si>
    <t>SECRETARIA DE SAÚDE</t>
  </si>
  <si>
    <t>SECRETARIA DE SEGURANÇA</t>
  </si>
  <si>
    <t>SECRETARIA DE EDUCAÇÃO</t>
  </si>
  <si>
    <t>SECRETARIA DE DESENVOLVIMENTO SOCIAL</t>
  </si>
  <si>
    <t>SECRETARIA DE ESPORTE, LAZER E JUVENTUDE</t>
  </si>
  <si>
    <t>SECRETARIA DE HABITAÇÃO E REGULARIZAÇÃO FUNDIÁRIA</t>
  </si>
  <si>
    <t>SECRETARIA EXTRAORDINÁRIA DE ENFRENTAMENTO AO CORONAVÍRUS</t>
  </si>
  <si>
    <t>SECRETARIA EXTRAORDINÁRIA DOS 250 ANOS</t>
  </si>
  <si>
    <t>CARRIS</t>
  </si>
  <si>
    <t>DMAE</t>
  </si>
  <si>
    <t>DEMHAB</t>
  </si>
  <si>
    <t>DMLU</t>
  </si>
  <si>
    <t>DEFESA CIVIL</t>
  </si>
  <si>
    <t>EPTC</t>
  </si>
  <si>
    <t>FASC</t>
  </si>
  <si>
    <t>PREVIMPA</t>
  </si>
  <si>
    <t>PROCEMPA</t>
  </si>
  <si>
    <t>PROCON</t>
  </si>
  <si>
    <t>Quilometragem/litro</t>
  </si>
  <si>
    <t>Tipo de Combustível</t>
  </si>
  <si>
    <t>Preço por litro</t>
  </si>
  <si>
    <t>Custos com Óleo</t>
  </si>
  <si>
    <t>Custos com Combustível</t>
  </si>
  <si>
    <t>Custo com Pneu jogo de pneus</t>
  </si>
  <si>
    <t>Custo do pneu</t>
  </si>
  <si>
    <t>Depreciação mensal</t>
  </si>
  <si>
    <t>Quantidade de veículos</t>
  </si>
  <si>
    <t>Custo de aquisição do veículo (total)</t>
  </si>
  <si>
    <t>Custos de mensalidade</t>
  </si>
  <si>
    <t>Custos de instalação (informar custo total)</t>
  </si>
  <si>
    <t>Quilômetros por mês</t>
  </si>
  <si>
    <t>Custo de aquisição do veículo</t>
  </si>
  <si>
    <t>Órgão Demandante</t>
  </si>
  <si>
    <t>MATERIAIS NÃO DEPRECIÁVEIS DE USO COLETIVO E EQUIPAMENTOS DEPRECIÁVEIS</t>
  </si>
  <si>
    <t>Litros por troca</t>
  </si>
  <si>
    <t>Frequência da troca</t>
  </si>
  <si>
    <t>Tipo de Veículo</t>
  </si>
  <si>
    <t>Porteiro</t>
  </si>
  <si>
    <t>Subtotal</t>
  </si>
  <si>
    <t>Custos Diretos</t>
  </si>
  <si>
    <t>Tributos</t>
  </si>
  <si>
    <t>Custos Administrativos</t>
  </si>
  <si>
    <t>POSTO</t>
  </si>
  <si>
    <t>CBO</t>
  </si>
  <si>
    <t>SINDICATO</t>
  </si>
  <si>
    <t>REGIME MENSAL CONVENÇÃO</t>
  </si>
  <si>
    <t>VIGÊNCA CCT</t>
  </si>
  <si>
    <t>REGISTRO M.T.E.</t>
  </si>
  <si>
    <t>AUXÍLIO ALIMENTAÇÃO (DIA)</t>
  </si>
  <si>
    <t>AUXÍLIO LANCHE</t>
  </si>
  <si>
    <t>Auxiliar de Almoxarifado</t>
  </si>
  <si>
    <t>Cozinheiro</t>
  </si>
  <si>
    <t>Auxiliar de Cozinha</t>
  </si>
  <si>
    <t>Receita Bruta</t>
  </si>
  <si>
    <t>DATA BASE</t>
  </si>
  <si>
    <t>Funcionários por posto</t>
  </si>
  <si>
    <t>Função do Posto</t>
  </si>
  <si>
    <t>L</t>
  </si>
  <si>
    <t>Valor do benefício</t>
  </si>
  <si>
    <t>Participação do empregado no custo (%)</t>
  </si>
  <si>
    <t>Mês</t>
  </si>
  <si>
    <t>Custos material e equipamentos de uso coletivo</t>
  </si>
  <si>
    <t>Custos com uniformes e material individuais</t>
  </si>
  <si>
    <t>Quantidade de vales recebidos por funcionário</t>
  </si>
  <si>
    <t>Forma de substituição intrajornada</t>
  </si>
  <si>
    <t>RAT 3% x FAP 1</t>
  </si>
  <si>
    <t>ACÓRDÃO 1753/2008 - PLENÁRIO - Caso o contrato preveja substituição do empregado em férias, para que o posto não fique descoberto a empresa deverá repor o profissional ausente por meio de profissional subtituto ao qual deverá retribuir com a mesma remuneração do titular. A estimativa do percentual dessa rubrica a ser aplicado sobre a remuneração mensal do titular pode ser obtido pelo cálculo: (8,33/12)+(8,33/12)+(1/3x(8,33/12)) ≅ 1,62%
Para fins de cálculo a base a ser utilizada é o total da remuneração para que não haja dupla incidência de férias. adicional de férias e décimo-terceiro.</t>
  </si>
  <si>
    <t>ACÓRDÃO 6771/2009 - PRIMEIRA CÂMARA -  Estimativa de 5 (cinco) dias de licença por ano.</t>
  </si>
  <si>
    <t>ACÓRDÃO 6771/2009 - PRIMEIRA CÂMARA -  Estimativa de 1,5% (um inteiro e cinco décimos por cento) dos empregados usufruindo 5 (cinco) dias da licença por ano.</t>
  </si>
  <si>
    <t xml:space="preserve">ACÓRDÃO 1753/2008 - PLENÁRIO - Estimativa de 2,96 ausências por ano. </t>
  </si>
  <si>
    <t>ACÓRDÃO 6771/2009 - PRIMEIRA CÂMARA - Estimativa de 1 (uma) licença de 30 (trinta) dias por ano para 0,78% (setenta e oito décimos por cento) dos empregados.</t>
  </si>
  <si>
    <t xml:space="preserve"> Anuário RAIS do Ministério do Trabalho - Durante a licença, o salário maternidade e a parcela do décimo terceiro salário correspondente ao período da licença é custeado pelo INSS (Art. 86 da IN RFB 971/2009). Cabe à empresa a provisão relativa a férias (1/12) e adicional de férias (1/3 x 1/12) e as contribuições previdenciárias sobre o período de licença . A remuneração do substituto, acrescida de todos os encargos, é justamente a remuneração da trabalhadora substituída no período (vide Módulo 1 e Submódulo 2.2). Portanto o custo do afastamento é dado pela seguinte fórmula aplicada sobre a remuneração: [(1/12) + (1/3 x 1/12)] x 100  ≅ 11,11%
Rateio do Custo durante Vigência Contratual: Divisão proporcional do custo de 4 (quatro) meses de licença por ano (base do % de ocorrências): (4 meses de licença) ÷ (12 meses) x 100 = 33,33%
Número Estimado de Ocorrências: Conforme Anuário Estatístico da RAIS, elaborado pelo Ministério do Trabalho, as mulheres representaram cerca de 46,2122% do total de empregos no Rio Grande do Sul (1.303.632 do total de 2.820.968). Já o Anuário Estatístico da Previdência Social dispõe que foi concedida a quantidade de 52.313 salários-maternidade no âmbito do Rio Grande do Sul em 2020. Essa quantidade representa cerca de 4,0129% do total de mulheres empregadas noRio Grande do Sul no mesmo período. Portanto, a estimativa de uma determinada empregada usurfruir 4 (quatro) meses de licença a cada ano de execução contratual é de 0,462122 x 0,04012 x 100  ≅ 1,854033% de empregadas afastadas
  Selecione "Empregos em 31/12", depois "Por Área Geográfica e Sexo" e depois os atributos "Ano igual a 2020"; "Região Natural igual a 4 -SUL"; "UF igual a RIO GRANDE DO SUL".  Anuário Estatístico da Previdência Social   Anuário Estatístico da Previdência Social  Clicar em 2020: "Download tabelas". No arquivo que abrir, clique na pasta "AEPS 2020 - SECAO I - Benefícios ", depois em "Concedidos", depois em "20C4_01" </t>
  </si>
  <si>
    <t>((Total submódulo 2.3 - VA - VT) x média de dias de substituição ÷ 30 ÷ 12)</t>
  </si>
  <si>
    <t>Salário mensal definido em acordo, dissídio ou convenção coletiva de trabalho no momento da publicação do edital; quando houver necessidade de afastar o risco de selecionar colaboradores com capacitação inferior à necessária para a execução dos serviços, por meio de pesquisas de mercado, de dados obtidos junto a associações e sindicatos de cada categoria profissional e de informações divulgadas por outros órgãos públicos que tenham recentemente contratado o mesmo tipo de serviço. De acordo com o TCU, a fixação de remuneração mínima no edital somente é cabível, com restrições,  nos casos de terceirização de mão de obra com alocação de postos de trabalho. Importante ainda que, como a planilha de custos é baseada em empregados mensalistas, consideram-se já remunerados os dias de repouso semanal no salário mensal nos termos do § 2º do art. 7º da Lei 605/1949.</t>
  </si>
  <si>
    <t>Adicional Troca Uniformes</t>
  </si>
  <si>
    <t>% Incidência = 50%</t>
  </si>
  <si>
    <t>Motorista Van</t>
  </si>
  <si>
    <t>Motorista Veículos Leves</t>
  </si>
  <si>
    <t>SINDIELV</t>
  </si>
  <si>
    <t>Seguro de Vida</t>
  </si>
  <si>
    <t>Periculosidade Adic. 30%</t>
  </si>
  <si>
    <t>Vigilante</t>
  </si>
  <si>
    <t>SINDIVIGILANTES</t>
  </si>
  <si>
    <t>Plano Benefício Familiar</t>
  </si>
  <si>
    <t>Varredor - Limpeza Urbana</t>
  </si>
  <si>
    <t>Recepcionista</t>
  </si>
  <si>
    <t>Insalubridade sobre Piso</t>
  </si>
  <si>
    <t>Aux. Limpeza, Serv. Gerais</t>
  </si>
  <si>
    <t>Copeiro</t>
  </si>
  <si>
    <t>Coletor, lixeiro</t>
  </si>
  <si>
    <t>Auxiliar de Manutenção Predial</t>
  </si>
  <si>
    <t>Auxiliar de Escritório</t>
  </si>
  <si>
    <t>Outros</t>
  </si>
  <si>
    <t>TOTAL MÓDULO 1</t>
  </si>
  <si>
    <t>Limpador Alpinista</t>
  </si>
  <si>
    <t>Operador de Rádio Chamada</t>
  </si>
  <si>
    <t>Telefonista terceirizada 180hs </t>
  </si>
  <si>
    <t>PISO NORMATIVO</t>
  </si>
  <si>
    <t>SUBMÓDULO 6.2 - Tributos</t>
  </si>
  <si>
    <t>Quantidade contratual</t>
  </si>
  <si>
    <t>RS003831/2021</t>
  </si>
  <si>
    <t>Intervalo Intrajornada</t>
  </si>
  <si>
    <t>OBSERVAÇÕES</t>
  </si>
  <si>
    <t>Simples</t>
  </si>
  <si>
    <t>PROVISÃO PARA RESCISÃO</t>
  </si>
  <si>
    <t>MEMÓRIA DE CÁLCULO</t>
  </si>
  <si>
    <t>Salário Mínimo</t>
  </si>
  <si>
    <t>Salário Base</t>
  </si>
  <si>
    <t>Regime Tributário:</t>
  </si>
  <si>
    <t>Receita Bruta Anual:</t>
  </si>
  <si>
    <t>Taxa de manutenção anual</t>
  </si>
  <si>
    <t>CPF Responsável:</t>
  </si>
  <si>
    <t>Custo mensal</t>
  </si>
  <si>
    <t>Sim</t>
  </si>
  <si>
    <t>Participação do empregado no custo Vale transporte</t>
  </si>
  <si>
    <t>Participação do empregado no custo Vale refeição</t>
  </si>
  <si>
    <t>MÓDULO 5 - UNIFORMES, MATERIAIS, EQUIPAMENTOS E VEÍCULOS</t>
  </si>
  <si>
    <t>SUBMÓDULO 5.1 - Uniformes, materiais e equipamentos</t>
  </si>
  <si>
    <t>DETALHAMENTO ITEM A SUBMOD 5.2 - MANUTENÇÃO MENSAL DO VEÍCULO</t>
  </si>
  <si>
    <t>DETALHAMENTO ITEM B SUBMOD 5.2 - CUSTOS OBRIGATÓRIOS MENSAIS DO VEÍCULO</t>
  </si>
  <si>
    <t>DETALHAMENTO ITEM C SUBMOD 5.2 - REMUNERAÇÃO DO CAPITAL E DEPRECIAÇÃO MENSAL DO VEÍCULO</t>
  </si>
  <si>
    <t>Custos com Filtro Óleo</t>
  </si>
  <si>
    <t>A.1</t>
  </si>
  <si>
    <t>A.2</t>
  </si>
  <si>
    <t>A.3</t>
  </si>
  <si>
    <t>A.4</t>
  </si>
  <si>
    <t>A.5</t>
  </si>
  <si>
    <t>Preço Filtro de óleo</t>
  </si>
  <si>
    <t>B.1</t>
  </si>
  <si>
    <t>B.2</t>
  </si>
  <si>
    <t>B.3</t>
  </si>
  <si>
    <t>B.4</t>
  </si>
  <si>
    <t>B.5</t>
  </si>
  <si>
    <t>C.1</t>
  </si>
  <si>
    <t>C.2</t>
  </si>
  <si>
    <t>Custo total</t>
  </si>
  <si>
    <t>SUBMÓDULO 4.2 - Intervalo intrajornada</t>
  </si>
  <si>
    <t>Veículo A</t>
  </si>
  <si>
    <t>Veículo B</t>
  </si>
  <si>
    <t>Veículo C</t>
  </si>
  <si>
    <t>Veículo D</t>
  </si>
  <si>
    <t>Veículo E</t>
  </si>
  <si>
    <t>UNIFORMES, MATERIAIS DE USO INDIVIDUAL, CURSOS E TREINAMENTOS</t>
  </si>
  <si>
    <t>Unidade de fornecimento</t>
  </si>
  <si>
    <t>Taxa de depreciação mensal</t>
  </si>
  <si>
    <t>Custo contratual</t>
  </si>
  <si>
    <t>Alíquota</t>
  </si>
  <si>
    <t>Interna</t>
  </si>
  <si>
    <t>Externa</t>
  </si>
  <si>
    <t>Oficinas</t>
  </si>
  <si>
    <t>Varrição de passeios e arruamentos</t>
  </si>
  <si>
    <t>Pisos acarpetados</t>
  </si>
  <si>
    <t>Pisos Frios</t>
  </si>
  <si>
    <t>Laboratoriais</t>
  </si>
  <si>
    <t>Almoxarifados/galpões</t>
  </si>
  <si>
    <t>Pisos pavimentados adjacentes/contíguos às edificações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</si>
  <si>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</si>
  <si>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</si>
  <si>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</si>
  <si>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</si>
  <si>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 xml:space="preserve">Custo do m² </t>
  </si>
  <si>
    <t>Aux. Limpeza</t>
  </si>
  <si>
    <t>Sup. Limpeza</t>
  </si>
  <si>
    <t>Alpinista</t>
  </si>
  <si>
    <t>Sup. Alpinista</t>
  </si>
  <si>
    <t>Fachadas Envidraçadas</t>
  </si>
  <si>
    <t>Áreas Hospitalares e assemelhadas</t>
  </si>
  <si>
    <t>Área mensal</t>
  </si>
  <si>
    <t>Produtividade</t>
  </si>
  <si>
    <t>QUADRO 1 - RESUMO DO CUSTO</t>
  </si>
  <si>
    <t>Custo por hora</t>
  </si>
  <si>
    <t>Custos com remuneração, encargos e benefícios</t>
  </si>
  <si>
    <t>Custos Indiretos por mês</t>
  </si>
  <si>
    <t>Custos por mês</t>
  </si>
  <si>
    <t>Custo por dia</t>
  </si>
  <si>
    <t>QUADRO 2 - PRODUTIVIDADE</t>
  </si>
  <si>
    <t>Custos contratual</t>
  </si>
  <si>
    <t>Esquadrias</t>
  </si>
  <si>
    <t>Fachada</t>
  </si>
  <si>
    <t>Hospitalar</t>
  </si>
  <si>
    <t>Face externa com exposição a situação de risco</t>
  </si>
  <si>
    <t>Face externa sem exposição a situação de risco</t>
  </si>
  <si>
    <t>Face interna</t>
  </si>
  <si>
    <t>-</t>
  </si>
  <si>
    <t>Áreas com espaços livres - saguão, hall e salão</t>
  </si>
  <si>
    <t>Banheiros</t>
  </si>
  <si>
    <t>C.3</t>
  </si>
  <si>
    <t>GMAT</t>
  </si>
  <si>
    <t>Und Medida</t>
  </si>
  <si>
    <t>Item 6.7 do Caderno Técnico - Prestação de Serviços de Limpeza, Asseio e Conservação Predial, do Estado de São Paulo (www.cadterc.sp.gov.br)</t>
  </si>
  <si>
    <t>Item 6.8 do Caderno Técnico - Prestação de Serviços de Limpeza, Asseio e Conservação Predial, do Estado de São Paulo (www.cadterc.sp.gov.br)</t>
  </si>
  <si>
    <t>A.6</t>
  </si>
  <si>
    <t>A.7</t>
  </si>
  <si>
    <t>B.6</t>
  </si>
  <si>
    <t>2.A - Áreas internas</t>
  </si>
  <si>
    <t>2.B - Áreas externas</t>
  </si>
  <si>
    <t>2.C - Esquadrias externas</t>
  </si>
  <si>
    <t>2.D - Fachadas</t>
  </si>
  <si>
    <t>2.E - Áreas Hospitalares</t>
  </si>
  <si>
    <t>Total contratual</t>
  </si>
  <si>
    <t>Semanas no Mês</t>
  </si>
  <si>
    <t>Semanas no Ano</t>
  </si>
  <si>
    <t>D.1</t>
  </si>
  <si>
    <t>E.1</t>
  </si>
  <si>
    <t>Incidência salário</t>
  </si>
  <si>
    <t>Duração do Contrato em meses:</t>
  </si>
  <si>
    <t>QUANTIDADE CONTRATUAL POR PROFISSIONAL</t>
  </si>
  <si>
    <t>Posto A</t>
  </si>
  <si>
    <t>Posto B</t>
  </si>
  <si>
    <t>Posto C</t>
  </si>
  <si>
    <t>Posto D</t>
  </si>
  <si>
    <t>Posto E</t>
  </si>
  <si>
    <t>Qnt. de Postos</t>
  </si>
  <si>
    <t>Qnt. de Profissionais</t>
  </si>
  <si>
    <t>DEMONSTRATIVO DOS CUSTOS DIRETOS E INDIRETOS</t>
  </si>
  <si>
    <t>DEMONSTRATIVO DE CUSTOS COM MÃO DE OBRA POR POSTO</t>
  </si>
  <si>
    <t>1.C - Total por veículo</t>
  </si>
  <si>
    <t>1.B - Custos por veículo</t>
  </si>
  <si>
    <t>Custos diretos por mês</t>
  </si>
  <si>
    <t>QUADRO 1 - RESUMO DOS CUSTOS</t>
  </si>
  <si>
    <t>Custos com veículos</t>
  </si>
  <si>
    <t>Motorista Caminhão</t>
  </si>
  <si>
    <t>Motorista Operador Caminhão</t>
  </si>
  <si>
    <t>Cooperativa</t>
  </si>
  <si>
    <t>TOTAL CONTRATUAL</t>
  </si>
  <si>
    <t>Valor a depreciar</t>
  </si>
  <si>
    <t>Custo hora</t>
  </si>
  <si>
    <t>Custo dia</t>
  </si>
  <si>
    <t>Custo mês</t>
  </si>
  <si>
    <t>Contratação</t>
  </si>
  <si>
    <t>Mensal</t>
  </si>
  <si>
    <t>Custos com uniformes, materiais e equipamentos</t>
  </si>
  <si>
    <t>Custos por posto</t>
  </si>
  <si>
    <t>Horas mês trabalhadas</t>
  </si>
  <si>
    <t>1.A - Custos unitários</t>
  </si>
  <si>
    <t>1.C - Total Contratual</t>
  </si>
  <si>
    <t>Custo mensal do posto</t>
  </si>
  <si>
    <t>Custo mensal do profissional</t>
  </si>
  <si>
    <t>Horas mês remuneradas</t>
  </si>
  <si>
    <t>Total mensal</t>
  </si>
  <si>
    <t>Pagamento do Contrato:</t>
  </si>
  <si>
    <t>Quantidade de vistorias no período contratual</t>
  </si>
  <si>
    <t>Valor da vistoria</t>
  </si>
  <si>
    <t>1.A - Custos por hora e quilômetro</t>
  </si>
  <si>
    <t>Custo variável por quilômetro</t>
  </si>
  <si>
    <t>Horas consideradas</t>
  </si>
  <si>
    <t>Posto F</t>
  </si>
  <si>
    <t>Posto G</t>
  </si>
  <si>
    <t>Posto H</t>
  </si>
  <si>
    <t>Posto I</t>
  </si>
  <si>
    <t>Posto J</t>
  </si>
  <si>
    <t>Durabilidade (em Km)</t>
  </si>
  <si>
    <t>Quantidade de profissional por posto</t>
  </si>
  <si>
    <t xml:space="preserve">Quantidade total de profissionais/diárias </t>
  </si>
  <si>
    <t>Quantidade de postos/diárias</t>
  </si>
  <si>
    <t>Local de trabalho</t>
  </si>
  <si>
    <t>(((7÷30,44)÷12)X 0,02) + ((7÷30,44)÷12) ≅ 1,98 %</t>
  </si>
  <si>
    <t>Responsável</t>
  </si>
  <si>
    <t>Data de conclusão</t>
  </si>
  <si>
    <t>Taxa anual</t>
  </si>
  <si>
    <t>RS004917/2023</t>
  </si>
  <si>
    <t>((1÷12)÷12)+((1÷12)÷12)+(1÷3x((1÷12)÷12)) ≅ 1,62%</t>
  </si>
  <si>
    <t>Regime de trabalho da convenção coletiva (mensal)</t>
  </si>
  <si>
    <t>Regime de trabalho do Contrato (semanal)</t>
  </si>
  <si>
    <t>Taxa mensal</t>
  </si>
  <si>
    <t>DETALHAMENTO ITEM A SUBMOD 5.2.1 - MANUTENÇÃO MENSAL DO VEÍCULO</t>
  </si>
  <si>
    <t>SUBTOTAL ITEM A SUBMOD 5.2.1</t>
  </si>
  <si>
    <t>DETALHAMENTO ITEM B SUBMOD 5.2.2 - CUSTOS OBRIGATÓRIOS MENSAIS DO VEÍCULO</t>
  </si>
  <si>
    <t>SUBTOTAL ITEM B SUBMOD 5.2.2</t>
  </si>
  <si>
    <t>DETALHAMENTO ITEM C SUBMOD 5.2.3 - REMUNERAÇÃO DO CAPITAL E DEPRECIAÇÃO MENSAL DO VEÍCULO</t>
  </si>
  <si>
    <t>SUBTOTAL ITEM C SUBMOD 5.2.3</t>
  </si>
  <si>
    <t>SUBMÓDULO 5.2.4 - CUSTOS INDIRETOS</t>
  </si>
  <si>
    <t>SUBMÓDULO 5.2.4.1 - Custos administrativos e lucros</t>
  </si>
  <si>
    <t>TOTAL SUBMÓDULO 5.2.4.1</t>
  </si>
  <si>
    <t>SUBMÓDULO 5.2.4.2 - Tributos</t>
  </si>
  <si>
    <t>TOTAL SUBMÓDULO 5.2.4.2</t>
  </si>
  <si>
    <t>TOTAL MÓDULO 5.2.4</t>
  </si>
  <si>
    <t>Outros custos (especificar)</t>
  </si>
  <si>
    <t>Custos por tipo de posto</t>
  </si>
  <si>
    <t>1.B - Total do tipo de posto (posto X quantidade)</t>
  </si>
  <si>
    <t>4h (1 dia/sem)</t>
  </si>
  <si>
    <t>6h (1 dia/sem)</t>
  </si>
  <si>
    <t>8h (1 dia/sem)</t>
  </si>
  <si>
    <t>20h (5 dia/sem)</t>
  </si>
  <si>
    <t>30h (5 dia/sem)</t>
  </si>
  <si>
    <t>35h (5 dia/sem)</t>
  </si>
  <si>
    <t>36h (6 dia/sem)</t>
  </si>
  <si>
    <t>40h (5 dia/sem)</t>
  </si>
  <si>
    <t>44h (5 dia/sem)</t>
  </si>
  <si>
    <t>44h (6 dia/sem)</t>
  </si>
  <si>
    <t>RS000303/2024</t>
  </si>
  <si>
    <t>Posto K</t>
  </si>
  <si>
    <t>Posto L</t>
  </si>
  <si>
    <t>Posto M</t>
  </si>
  <si>
    <t>Posto N</t>
  </si>
  <si>
    <t>Posto O</t>
  </si>
  <si>
    <t>Posto P</t>
  </si>
  <si>
    <t>Posto Q</t>
  </si>
  <si>
    <t>Posto R</t>
  </si>
  <si>
    <t>Posto S</t>
  </si>
  <si>
    <t>Posto T</t>
  </si>
  <si>
    <t>Posto U</t>
  </si>
  <si>
    <t>Posto V</t>
  </si>
  <si>
    <t>Posto W</t>
  </si>
  <si>
    <t>Posto X</t>
  </si>
  <si>
    <t>Posto Y</t>
  </si>
  <si>
    <t>Posto Z</t>
  </si>
  <si>
    <t>Custo diretos</t>
  </si>
  <si>
    <t>Custos totais (diretos + indiretos)</t>
  </si>
  <si>
    <t>MATERIAIS COLETIVOS E EQUIPAMENTOS</t>
  </si>
  <si>
    <t>Materias coletivos e equipamentos</t>
  </si>
  <si>
    <t>Vida útil</t>
  </si>
  <si>
    <t>Calça operacional</t>
  </si>
  <si>
    <t>unidade</t>
  </si>
  <si>
    <t>Camiseta manga longa</t>
  </si>
  <si>
    <t>Crachá de identificação</t>
  </si>
  <si>
    <t>Calçado de segurança hidrofugado</t>
  </si>
  <si>
    <t>par</t>
  </si>
  <si>
    <t>Livro ponto</t>
  </si>
  <si>
    <t>Moletom</t>
  </si>
  <si>
    <t>Não</t>
  </si>
  <si>
    <t>Agente  Social</t>
  </si>
  <si>
    <t>5153-10</t>
  </si>
  <si>
    <t>Abrigos</t>
  </si>
  <si>
    <t>Despesas Administrativas</t>
  </si>
  <si>
    <t>Contratação de Agentes Sociais</t>
  </si>
  <si>
    <t xml:space="preserve">Dispensa Eletrônica nº: </t>
  </si>
  <si>
    <t>15/2024</t>
  </si>
  <si>
    <t>Data da proposta</t>
  </si>
  <si>
    <t>PLANILHA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</si>
</sst>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00%"/>
    <numFmt numFmtId="167" formatCode="00\ &quot;meses&quot;"/>
    <numFmt numFmtId="168" formatCode="0\ &quot;horas&quot;"/>
    <numFmt numFmtId="169" formatCode="0\ &quot;dias&quot;"/>
    <numFmt numFmtId="170" formatCode="_(&quot;R$ &quot;* #,##0.00_);_(&quot;R$ &quot;* \(#,##0.00\);_(&quot;R$ &quot;* &quot;-&quot;??_);_(@_)"/>
    <numFmt numFmtId="171" formatCode="_([$€-2]* #,##0.00_);_([$€-2]* \(#,##0.00\);_([$€-2]* &quot;-&quot;??_)"/>
    <numFmt numFmtId="172" formatCode="_-&quot;R$&quot;* #,##0.00_-;\-&quot;R$&quot;* #,##0.00_-;_-&quot;R$&quot;* &quot;-&quot;??_-;_-@_-"/>
    <numFmt numFmtId="173" formatCode="_(* #,##0.00_);_(* \(#,##0.00\);_(* \-??_);_(@_)"/>
    <numFmt numFmtId="174" formatCode="[$-416]General"/>
    <numFmt numFmtId="175" formatCode="[$-416]0%"/>
    <numFmt numFmtId="176" formatCode="#,##0.00&quot; &quot;;&quot; (&quot;#,##0.00&quot;)&quot;;&quot; -&quot;#&quot; &quot;;@&quot; &quot;"/>
    <numFmt numFmtId="177" formatCode="[$R$-416]&quot; &quot;#,##0.00;[Red]&quot;-&quot;[$R$-416]&quot; &quot;#,##0.00"/>
    <numFmt numFmtId="178" formatCode="0\ &quot;dias&quot;\ "/>
    <numFmt numFmtId="179" formatCode="0\ &quot;meses&quot;\ "/>
    <numFmt numFmtId="180" formatCode="0.00\ &quot;dias&quot;\ "/>
    <numFmt numFmtId="181" formatCode="_-* #,##0_-;\-* #,##0_-;_-* &quot;-&quot;??_-;_-@_-"/>
    <numFmt numFmtId="182" formatCode="#,##0\ &quot;Km&quot;"/>
    <numFmt numFmtId="183" formatCode="#,##0\ &quot;meses&quot;"/>
    <numFmt numFmtId="184" formatCode="#,##0&quot;h&quot;"/>
    <numFmt numFmtId="185" formatCode="0.00\ &quot;horas&quot;"/>
    <numFmt numFmtId="186" formatCode="0%\ &quot;anual&quot;"/>
    <numFmt numFmtId="187" formatCode="#,##0.0\ &quot;Km/L&quot;"/>
    <numFmt numFmtId="188" formatCode="0&quot;h&quot;"/>
    <numFmt numFmtId="189" formatCode="0.00\ &quot;L&quot;"/>
    <numFmt numFmtId="190" formatCode="0.0%"/>
    <numFmt numFmtId="191" formatCode="#,##0.0\ &quot;m²&quot;"/>
    <numFmt numFmtId="192" formatCode="0.0000"/>
    <numFmt numFmtId="193" formatCode="0.00000"/>
    <numFmt numFmtId="194" formatCode="#,##0.00\ &quot;m²&quot;"/>
    <numFmt numFmtId="195" formatCode="_-&quot;R$&quot;\ * #,##0.00000000_-;\-&quot;R$&quot;\ * #,##0.00000000_-;_-&quot;R$&quot;\ * &quot;-&quot;??_-;_-@_-"/>
    <numFmt numFmtId="196" formatCode="#\ &quot;h&quot;"/>
    <numFmt numFmtId="197" formatCode="0.0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theme="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11"/>
      <color rgb="FF000000"/>
      <name val="Calibri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hair">
        <color indexed="64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7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173" fontId="15" fillId="0" borderId="0" applyBorder="0" applyProtection="0"/>
    <xf numFmtId="0" fontId="15" fillId="0" borderId="0" applyBorder="0" applyProtection="0"/>
    <xf numFmtId="9" fontId="15" fillId="0" borderId="0" applyBorder="0" applyProtection="0"/>
    <xf numFmtId="0" fontId="12" fillId="0" borderId="0"/>
    <xf numFmtId="0" fontId="17" fillId="0" borderId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174" fontId="16" fillId="0" borderId="0" applyBorder="0" applyProtection="0"/>
    <xf numFmtId="0" fontId="19" fillId="0" borderId="0" applyNumberFormat="0" applyBorder="0" applyProtection="0"/>
    <xf numFmtId="177" fontId="19" fillId="0" borderId="0" applyBorder="0" applyProtection="0"/>
    <xf numFmtId="0" fontId="12" fillId="0" borderId="0"/>
    <xf numFmtId="22" fontId="12" fillId="0" borderId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16" borderId="0" applyNumberFormat="0" applyBorder="0" applyAlignment="0" applyProtection="0"/>
    <xf numFmtId="0" fontId="25" fillId="28" borderId="27" applyNumberFormat="0" applyAlignment="0" applyProtection="0"/>
    <xf numFmtId="0" fontId="26" fillId="29" borderId="28" applyNumberFormat="0" applyAlignment="0" applyProtection="0"/>
    <xf numFmtId="0" fontId="27" fillId="0" borderId="29" applyNumberFormat="0" applyFill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19" borderId="27" applyNumberFormat="0" applyAlignment="0" applyProtection="0"/>
    <xf numFmtId="0" fontId="29" fillId="15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30" applyNumberFormat="0" applyAlignment="0" applyProtection="0"/>
    <xf numFmtId="0" fontId="31" fillId="28" borderId="3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2" applyNumberFormat="0" applyFill="0" applyAlignment="0" applyProtection="0"/>
    <xf numFmtId="0" fontId="35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4" applyNumberFormat="0" applyFill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170" fontId="3" fillId="0" borderId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0" borderId="0" xfId="1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7" fillId="0" borderId="0" xfId="0" applyNumberFormat="1" applyFont="1" applyAlignment="1">
      <alignment horizontal="right" vertical="center"/>
    </xf>
    <xf numFmtId="0" fontId="37" fillId="5" borderId="0" xfId="93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39" fillId="5" borderId="0" xfId="93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4" fontId="39" fillId="0" borderId="16" xfId="15" applyNumberFormat="1" applyFont="1" applyFill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44" fontId="39" fillId="0" borderId="0" xfId="5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8" fillId="0" borderId="0" xfId="6" applyFont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44" fontId="0" fillId="0" borderId="0" xfId="2" applyFont="1" applyBorder="1" applyProtection="1"/>
    <xf numFmtId="44" fontId="0" fillId="0" borderId="1" xfId="2" applyFont="1" applyBorder="1" applyProtection="1"/>
    <xf numFmtId="44" fontId="6" fillId="0" borderId="10" xfId="2" applyFont="1" applyBorder="1" applyProtection="1"/>
    <xf numFmtId="44" fontId="6" fillId="0" borderId="11" xfId="2" applyFont="1" applyBorder="1" applyProtection="1"/>
    <xf numFmtId="44" fontId="1" fillId="0" borderId="0" xfId="2" applyFont="1" applyBorder="1" applyProtection="1"/>
    <xf numFmtId="166" fontId="0" fillId="0" borderId="0" xfId="3" applyNumberFormat="1" applyFont="1" applyBorder="1" applyProtection="1"/>
    <xf numFmtId="0" fontId="7" fillId="0" borderId="0" xfId="0" applyFont="1"/>
    <xf numFmtId="0" fontId="7" fillId="0" borderId="0" xfId="6" applyFont="1"/>
    <xf numFmtId="44" fontId="7" fillId="0" borderId="0" xfId="2" applyFont="1" applyFill="1" applyBorder="1" applyAlignment="1"/>
    <xf numFmtId="0" fontId="8" fillId="0" borderId="0" xfId="6" applyFont="1"/>
    <xf numFmtId="4" fontId="7" fillId="0" borderId="0" xfId="6" applyNumberFormat="1" applyFont="1"/>
    <xf numFmtId="0" fontId="0" fillId="0" borderId="25" xfId="0" applyBorder="1"/>
    <xf numFmtId="44" fontId="6" fillId="0" borderId="0" xfId="2" applyFont="1" applyBorder="1" applyProtection="1"/>
    <xf numFmtId="44" fontId="0" fillId="0" borderId="0" xfId="2" applyFont="1"/>
    <xf numFmtId="0" fontId="0" fillId="0" borderId="0" xfId="0" applyProtection="1">
      <protection locked="0"/>
    </xf>
    <xf numFmtId="184" fontId="0" fillId="0" borderId="0" xfId="0" applyNumberFormat="1" applyAlignment="1">
      <alignment horizontal="center"/>
    </xf>
    <xf numFmtId="0" fontId="0" fillId="0" borderId="23" xfId="0" applyBorder="1" applyAlignment="1">
      <alignment vertical="center"/>
    </xf>
    <xf numFmtId="0" fontId="7" fillId="0" borderId="23" xfId="6" applyFont="1" applyBorder="1"/>
    <xf numFmtId="44" fontId="7" fillId="0" borderId="23" xfId="2" applyFont="1" applyFill="1" applyBorder="1" applyAlignment="1"/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5" borderId="0" xfId="93" applyFont="1" applyFill="1" applyAlignment="1" applyProtection="1">
      <alignment horizontal="left" vertical="center"/>
      <protection locked="0" hidden="1"/>
    </xf>
    <xf numFmtId="44" fontId="6" fillId="0" borderId="2" xfId="2" applyFont="1" applyBorder="1" applyProtection="1"/>
    <xf numFmtId="44" fontId="6" fillId="0" borderId="8" xfId="2" applyFont="1" applyBorder="1" applyProtection="1"/>
    <xf numFmtId="44" fontId="6" fillId="0" borderId="36" xfId="2" applyFont="1" applyBorder="1" applyProtection="1"/>
    <xf numFmtId="44" fontId="6" fillId="0" borderId="37" xfId="2" applyFont="1" applyBorder="1" applyProtection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2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188" fontId="0" fillId="0" borderId="0" xfId="2" applyNumberFormat="1" applyFont="1" applyAlignment="1">
      <alignment horizontal="center"/>
    </xf>
    <xf numFmtId="44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0" fillId="0" borderId="0" xfId="0" applyNumberFormat="1" applyAlignment="1">
      <alignment horizontal="center"/>
    </xf>
    <xf numFmtId="0" fontId="6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5" borderId="0" xfId="19" applyFont="1" applyFill="1" applyBorder="1" applyAlignment="1">
      <alignment horizontal="left" vertical="center"/>
    </xf>
    <xf numFmtId="0" fontId="11" fillId="5" borderId="18" xfId="5" applyFont="1" applyFill="1" applyBorder="1" applyAlignment="1">
      <alignment vertical="center"/>
    </xf>
    <xf numFmtId="0" fontId="11" fillId="5" borderId="23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24" xfId="5" applyFont="1" applyFill="1" applyBorder="1" applyAlignment="1">
      <alignment vertical="center"/>
    </xf>
    <xf numFmtId="0" fontId="11" fillId="0" borderId="25" xfId="5" applyFont="1" applyFill="1" applyBorder="1" applyAlignment="1">
      <alignment vertical="center"/>
    </xf>
    <xf numFmtId="0" fontId="11" fillId="0" borderId="24" xfId="14" applyFont="1" applyFill="1" applyBorder="1" applyAlignment="1">
      <alignment vertical="center"/>
    </xf>
    <xf numFmtId="0" fontId="11" fillId="0" borderId="25" xfId="14" applyFont="1" applyFill="1" applyBorder="1" applyAlignment="1">
      <alignment vertical="center"/>
    </xf>
    <xf numFmtId="0" fontId="11" fillId="0" borderId="0" xfId="14" applyFont="1" applyFill="1" applyBorder="1" applyAlignment="1">
      <alignment vertical="center"/>
    </xf>
    <xf numFmtId="0" fontId="11" fillId="0" borderId="25" xfId="13" applyFont="1" applyFill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9" fillId="5" borderId="0" xfId="93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5" borderId="0" xfId="5" applyFont="1" applyFill="1" applyBorder="1" applyAlignment="1">
      <alignment vertical="center"/>
    </xf>
    <xf numFmtId="0" fontId="6" fillId="0" borderId="6" xfId="18" applyFont="1" applyFill="1" applyBorder="1" applyAlignment="1">
      <alignment horizontal="center" vertical="center"/>
    </xf>
    <xf numFmtId="0" fontId="6" fillId="0" borderId="43" xfId="18" applyFont="1" applyFill="1" applyBorder="1" applyAlignment="1">
      <alignment vertical="center"/>
    </xf>
    <xf numFmtId="0" fontId="11" fillId="37" borderId="9" xfId="165" applyFont="1" applyBorder="1" applyAlignment="1">
      <alignment horizontal="center" vertical="center"/>
    </xf>
    <xf numFmtId="0" fontId="11" fillId="37" borderId="10" xfId="165" applyFont="1" applyBorder="1" applyAlignment="1">
      <alignment horizontal="left" vertical="center"/>
    </xf>
    <xf numFmtId="0" fontId="11" fillId="37" borderId="10" xfId="165" applyFont="1" applyBorder="1" applyAlignment="1">
      <alignment vertical="center"/>
    </xf>
    <xf numFmtId="0" fontId="14" fillId="0" borderId="37" xfId="18" applyFont="1" applyFill="1" applyBorder="1" applyAlignment="1">
      <alignment horizontal="center" vertical="center"/>
    </xf>
    <xf numFmtId="0" fontId="14" fillId="0" borderId="4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9" fontId="0" fillId="0" borderId="50" xfId="4" applyNumberFormat="1" applyFont="1" applyFill="1" applyBorder="1" applyAlignment="1" applyProtection="1">
      <alignment horizontal="center" vertical="center"/>
      <protection locked="0"/>
    </xf>
    <xf numFmtId="44" fontId="0" fillId="0" borderId="48" xfId="4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1" xfId="18" applyFont="1" applyFill="1" applyBorder="1" applyAlignment="1">
      <alignment horizontal="center" vertical="center"/>
    </xf>
    <xf numFmtId="44" fontId="0" fillId="0" borderId="38" xfId="18" applyNumberFormat="1" applyFont="1" applyFill="1" applyBorder="1" applyAlignment="1">
      <alignment horizontal="center" vertical="center"/>
    </xf>
    <xf numFmtId="0" fontId="6" fillId="0" borderId="43" xfId="4" applyFont="1" applyFill="1" applyBorder="1" applyAlignment="1">
      <alignment vertical="center"/>
    </xf>
    <xf numFmtId="44" fontId="1" fillId="0" borderId="48" xfId="4" applyNumberFormat="1" applyFill="1" applyBorder="1" applyAlignment="1">
      <alignment horizontal="center" vertical="center"/>
    </xf>
    <xf numFmtId="0" fontId="14" fillId="0" borderId="45" xfId="18" applyFont="1" applyFill="1" applyBorder="1" applyAlignment="1">
      <alignment horizontal="left" vertical="center" indent="2"/>
    </xf>
    <xf numFmtId="0" fontId="14" fillId="0" borderId="46" xfId="18" applyFont="1" applyFill="1" applyBorder="1" applyAlignment="1">
      <alignment horizontal="left" vertical="center" indent="2"/>
    </xf>
    <xf numFmtId="0" fontId="11" fillId="5" borderId="22" xfId="21" applyFont="1" applyFill="1" applyBorder="1" applyAlignment="1">
      <alignment horizontal="left" vertical="center" wrapText="1"/>
    </xf>
    <xf numFmtId="0" fontId="11" fillId="5" borderId="22" xfId="21" applyFont="1" applyFill="1" applyBorder="1" applyAlignment="1">
      <alignment horizontal="left" vertical="center"/>
    </xf>
    <xf numFmtId="0" fontId="11" fillId="5" borderId="22" xfId="20" applyFont="1" applyFill="1" applyBorder="1" applyAlignment="1">
      <alignment horizontal="left" vertical="center"/>
    </xf>
    <xf numFmtId="0" fontId="8" fillId="0" borderId="38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21" applyNumberFormat="1" applyFont="1" applyFill="1" applyBorder="1" applyAlignment="1" applyProtection="1">
      <alignment horizontal="center" vertical="center"/>
      <protection locked="0"/>
    </xf>
    <xf numFmtId="44" fontId="7" fillId="0" borderId="38" xfId="2" applyFont="1" applyFill="1" applyBorder="1" applyAlignment="1" applyProtection="1">
      <alignment horizontal="center" vertical="center"/>
      <protection locked="0"/>
    </xf>
    <xf numFmtId="188" fontId="7" fillId="0" borderId="38" xfId="21" applyNumberFormat="1" applyFont="1" applyFill="1" applyBorder="1" applyAlignment="1" applyProtection="1">
      <alignment horizontal="center" vertical="center"/>
      <protection locked="0"/>
    </xf>
    <xf numFmtId="14" fontId="7" fillId="0" borderId="38" xfId="21" applyNumberFormat="1" applyFont="1" applyFill="1" applyBorder="1" applyAlignment="1" applyProtection="1">
      <alignment horizontal="center" vertical="center"/>
      <protection locked="0"/>
    </xf>
    <xf numFmtId="44" fontId="7" fillId="0" borderId="38" xfId="20" applyNumberFormat="1" applyFont="1" applyFill="1" applyBorder="1" applyAlignment="1" applyProtection="1">
      <alignment horizontal="center" vertical="center"/>
      <protection locked="0"/>
    </xf>
    <xf numFmtId="44" fontId="7" fillId="0" borderId="38" xfId="21" applyNumberFormat="1" applyFont="1" applyFill="1" applyBorder="1" applyAlignment="1" applyProtection="1">
      <alignment horizontal="center" vertical="center"/>
      <protection locked="0"/>
    </xf>
    <xf numFmtId="0" fontId="7" fillId="0" borderId="38" xfId="21" applyNumberFormat="1" applyFont="1" applyFill="1" applyBorder="1" applyAlignment="1" applyProtection="1">
      <alignment horizontal="center" vertical="center"/>
    </xf>
    <xf numFmtId="0" fontId="8" fillId="0" borderId="9" xfId="21" applyFont="1" applyFill="1" applyBorder="1" applyAlignment="1">
      <alignment horizontal="center" vertical="center"/>
    </xf>
    <xf numFmtId="0" fontId="7" fillId="0" borderId="9" xfId="20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37" borderId="11" xfId="165" applyFont="1" applyBorder="1" applyAlignment="1">
      <alignment horizontal="center" vertical="center"/>
    </xf>
    <xf numFmtId="0" fontId="8" fillId="0" borderId="11" xfId="21" applyFont="1" applyFill="1" applyBorder="1" applyAlignment="1">
      <alignment vertical="center" wrapText="1"/>
    </xf>
    <xf numFmtId="0" fontId="7" fillId="0" borderId="11" xfId="21" applyFont="1" applyFill="1" applyBorder="1" applyAlignment="1">
      <alignment vertical="center"/>
    </xf>
    <xf numFmtId="0" fontId="7" fillId="0" borderId="11" xfId="20" applyFont="1" applyFill="1" applyBorder="1" applyAlignment="1">
      <alignment vertical="center"/>
    </xf>
    <xf numFmtId="0" fontId="8" fillId="0" borderId="10" xfId="21" applyFont="1" applyFill="1" applyBorder="1" applyAlignment="1">
      <alignment vertical="center" wrapText="1"/>
    </xf>
    <xf numFmtId="0" fontId="7" fillId="0" borderId="10" xfId="21" applyFont="1" applyFill="1" applyBorder="1" applyAlignment="1">
      <alignment vertical="center"/>
    </xf>
    <xf numFmtId="0" fontId="7" fillId="0" borderId="10" xfId="2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37" borderId="10" xfId="165" applyFont="1" applyBorder="1" applyAlignment="1">
      <alignment vertical="center" wrapText="1"/>
    </xf>
    <xf numFmtId="0" fontId="0" fillId="0" borderId="0" xfId="18" applyFont="1" applyFill="1" applyBorder="1" applyAlignment="1">
      <alignment vertical="center"/>
    </xf>
    <xf numFmtId="10" fontId="0" fillId="0" borderId="25" xfId="18" applyNumberFormat="1" applyFont="1" applyFill="1" applyBorder="1" applyAlignment="1">
      <alignment horizontal="right" vertical="center"/>
    </xf>
    <xf numFmtId="44" fontId="0" fillId="0" borderId="22" xfId="18" applyNumberFormat="1" applyFont="1" applyFill="1" applyBorder="1" applyAlignment="1">
      <alignment horizontal="center" vertical="center"/>
    </xf>
    <xf numFmtId="0" fontId="11" fillId="5" borderId="0" xfId="5" applyFont="1" applyFill="1" applyBorder="1" applyAlignment="1">
      <alignment horizontal="center" vertical="center"/>
    </xf>
    <xf numFmtId="0" fontId="6" fillId="0" borderId="9" xfId="18" applyFont="1" applyFill="1" applyBorder="1" applyAlignment="1">
      <alignment horizontal="center" vertical="center"/>
    </xf>
    <xf numFmtId="0" fontId="6" fillId="0" borderId="51" xfId="18" applyFont="1" applyFill="1" applyBorder="1" applyAlignment="1">
      <alignment vertical="center"/>
    </xf>
    <xf numFmtId="0" fontId="11" fillId="5" borderId="22" xfId="5" applyFont="1" applyFill="1" applyBorder="1" applyAlignment="1">
      <alignment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44" xfId="4" applyFont="1" applyFill="1" applyBorder="1" applyAlignment="1">
      <alignment vertical="center"/>
    </xf>
    <xf numFmtId="0" fontId="14" fillId="0" borderId="45" xfId="4" applyFont="1" applyFill="1" applyBorder="1" applyAlignment="1">
      <alignment horizontal="left" vertical="center" indent="2"/>
    </xf>
    <xf numFmtId="44" fontId="0" fillId="0" borderId="11" xfId="18" applyNumberFormat="1" applyFont="1" applyFill="1" applyBorder="1" applyAlignment="1">
      <alignment horizontal="center" vertical="center"/>
    </xf>
    <xf numFmtId="44" fontId="0" fillId="0" borderId="5" xfId="18" applyNumberFormat="1" applyFont="1" applyFill="1" applyBorder="1" applyAlignment="1">
      <alignment horizontal="center" vertical="center"/>
    </xf>
    <xf numFmtId="0" fontId="14" fillId="0" borderId="37" xfId="4" applyFont="1" applyFill="1" applyBorder="1" applyAlignment="1">
      <alignment horizontal="center" vertical="center"/>
    </xf>
    <xf numFmtId="0" fontId="14" fillId="0" borderId="47" xfId="18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0" fillId="0" borderId="47" xfId="4" applyFont="1" applyFill="1" applyBorder="1" applyAlignment="1">
      <alignment horizontal="center" vertical="center"/>
    </xf>
    <xf numFmtId="0" fontId="1" fillId="0" borderId="47" xfId="4" applyFill="1" applyBorder="1" applyAlignment="1" applyProtection="1">
      <alignment horizontal="center" vertical="center"/>
      <protection locked="0"/>
    </xf>
    <xf numFmtId="168" fontId="0" fillId="0" borderId="49" xfId="4" applyNumberFormat="1" applyFont="1" applyFill="1" applyBorder="1" applyAlignment="1" applyProtection="1">
      <alignment horizontal="center" vertical="center"/>
      <protection locked="0"/>
    </xf>
    <xf numFmtId="169" fontId="0" fillId="0" borderId="50" xfId="18" applyNumberFormat="1" applyFont="1" applyFill="1" applyBorder="1" applyAlignment="1" applyProtection="1">
      <alignment horizontal="center" vertical="center"/>
      <protection locked="0"/>
    </xf>
    <xf numFmtId="44" fontId="0" fillId="0" borderId="48" xfId="18" applyNumberFormat="1" applyFont="1" applyFill="1" applyBorder="1" applyAlignment="1">
      <alignment horizontal="center" vertical="center"/>
    </xf>
    <xf numFmtId="44" fontId="0" fillId="0" borderId="39" xfId="18" applyNumberFormat="1" applyFont="1" applyFill="1" applyBorder="1" applyAlignment="1">
      <alignment horizontal="center" vertical="center"/>
    </xf>
    <xf numFmtId="185" fontId="1" fillId="0" borderId="49" xfId="4" applyNumberFormat="1" applyFill="1" applyBorder="1" applyAlignment="1" applyProtection="1">
      <alignment horizontal="center" vertical="center"/>
      <protection locked="0"/>
    </xf>
    <xf numFmtId="168" fontId="0" fillId="0" borderId="50" xfId="4" applyNumberFormat="1" applyFont="1" applyFill="1" applyBorder="1" applyAlignment="1" applyProtection="1">
      <alignment horizontal="center" vertical="center"/>
      <protection locked="0"/>
    </xf>
    <xf numFmtId="44" fontId="1" fillId="0" borderId="50" xfId="4" applyNumberFormat="1" applyFill="1" applyBorder="1" applyAlignment="1">
      <alignment horizontal="center" vertical="center"/>
    </xf>
    <xf numFmtId="44" fontId="1" fillId="0" borderId="38" xfId="4" applyNumberFormat="1" applyFill="1" applyBorder="1" applyAlignment="1" applyProtection="1">
      <alignment horizontal="center" vertical="center"/>
      <protection locked="0"/>
    </xf>
    <xf numFmtId="0" fontId="11" fillId="37" borderId="11" xfId="165" applyFont="1" applyBorder="1" applyAlignment="1">
      <alignment vertical="center"/>
    </xf>
    <xf numFmtId="44" fontId="11" fillId="37" borderId="10" xfId="165" applyNumberFormat="1" applyFont="1" applyBorder="1" applyAlignment="1">
      <alignment horizontal="center" vertical="center"/>
    </xf>
    <xf numFmtId="44" fontId="11" fillId="37" borderId="38" xfId="165" applyNumberFormat="1" applyFont="1" applyBorder="1" applyAlignment="1">
      <alignment horizontal="center" vertical="center"/>
    </xf>
    <xf numFmtId="44" fontId="11" fillId="37" borderId="11" xfId="165" applyNumberFormat="1" applyFont="1" applyBorder="1" applyAlignment="1">
      <alignment horizontal="center" vertical="center"/>
    </xf>
    <xf numFmtId="0" fontId="11" fillId="37" borderId="9" xfId="165" applyFont="1" applyBorder="1" applyAlignment="1">
      <alignment horizontal="left" vertical="center"/>
    </xf>
    <xf numFmtId="0" fontId="0" fillId="0" borderId="37" xfId="18" applyFont="1" applyFill="1" applyBorder="1" applyAlignment="1">
      <alignment horizontal="center" vertical="center"/>
    </xf>
    <xf numFmtId="9" fontId="0" fillId="0" borderId="49" xfId="18" applyNumberFormat="1" applyFont="1" applyFill="1" applyBorder="1" applyAlignment="1" applyProtection="1">
      <alignment horizontal="center" vertical="center"/>
      <protection locked="0"/>
    </xf>
    <xf numFmtId="0" fontId="6" fillId="0" borderId="44" xfId="18" applyFont="1" applyFill="1" applyBorder="1" applyAlignment="1">
      <alignment vertical="center"/>
    </xf>
    <xf numFmtId="44" fontId="1" fillId="0" borderId="49" xfId="4" applyNumberForma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left" vertical="center" indent="2"/>
    </xf>
    <xf numFmtId="0" fontId="6" fillId="0" borderId="53" xfId="18" applyFont="1" applyFill="1" applyBorder="1" applyAlignment="1">
      <alignment vertical="center"/>
    </xf>
    <xf numFmtId="0" fontId="14" fillId="0" borderId="54" xfId="18" applyFont="1" applyFill="1" applyBorder="1" applyAlignment="1">
      <alignment horizontal="left" vertical="center" indent="2"/>
    </xf>
    <xf numFmtId="0" fontId="6" fillId="0" borderId="38" xfId="18" applyFont="1" applyFill="1" applyBorder="1" applyAlignment="1">
      <alignment horizontal="center" vertical="center"/>
    </xf>
    <xf numFmtId="0" fontId="2" fillId="37" borderId="38" xfId="165" applyBorder="1" applyAlignment="1">
      <alignment horizontal="center" vertical="center" wrapText="1"/>
    </xf>
    <xf numFmtId="10" fontId="0" fillId="0" borderId="37" xfId="18" applyNumberFormat="1" applyFont="1" applyFill="1" applyBorder="1" applyAlignment="1" applyProtection="1">
      <alignment horizontal="center" vertical="center"/>
      <protection locked="0"/>
    </xf>
    <xf numFmtId="0" fontId="0" fillId="0" borderId="47" xfId="18" applyNumberFormat="1" applyFont="1" applyFill="1" applyBorder="1" applyAlignment="1" applyProtection="1">
      <alignment horizontal="center" vertical="center"/>
      <protection locked="0"/>
    </xf>
    <xf numFmtId="44" fontId="0" fillId="0" borderId="8" xfId="2" applyFont="1" applyFill="1" applyBorder="1" applyAlignment="1">
      <alignment vertical="center"/>
    </xf>
    <xf numFmtId="0" fontId="6" fillId="0" borderId="5" xfId="18" applyFont="1" applyFill="1" applyBorder="1" applyAlignment="1">
      <alignment horizontal="center" vertical="center"/>
    </xf>
    <xf numFmtId="0" fontId="11" fillId="39" borderId="9" xfId="172" applyFont="1" applyBorder="1" applyAlignment="1">
      <alignment horizontal="center" vertical="center"/>
    </xf>
    <xf numFmtId="0" fontId="11" fillId="39" borderId="10" xfId="172" applyFont="1" applyBorder="1" applyAlignment="1">
      <alignment horizontal="left" vertical="center"/>
    </xf>
    <xf numFmtId="0" fontId="11" fillId="39" borderId="10" xfId="172" applyFont="1" applyBorder="1" applyAlignment="1">
      <alignment vertical="center"/>
    </xf>
    <xf numFmtId="44" fontId="11" fillId="39" borderId="11" xfId="172" applyNumberFormat="1" applyFont="1" applyBorder="1" applyAlignment="1">
      <alignment vertical="center"/>
    </xf>
    <xf numFmtId="0" fontId="11" fillId="39" borderId="11" xfId="172" applyFont="1" applyBorder="1" applyAlignment="1">
      <alignment vertical="center"/>
    </xf>
    <xf numFmtId="44" fontId="11" fillId="39" borderId="38" xfId="172" applyNumberFormat="1" applyFont="1" applyBorder="1" applyAlignment="1">
      <alignment vertical="center"/>
    </xf>
    <xf numFmtId="10" fontId="6" fillId="0" borderId="11" xfId="3" applyNumberFormat="1" applyFont="1" applyFill="1" applyBorder="1" applyAlignment="1">
      <alignment horizontal="center" vertical="center"/>
    </xf>
    <xf numFmtId="0" fontId="6" fillId="0" borderId="22" xfId="18" applyFont="1" applyFill="1" applyBorder="1" applyAlignment="1">
      <alignment vertical="center"/>
    </xf>
    <xf numFmtId="0" fontId="1" fillId="0" borderId="37" xfId="4" applyNumberFormat="1" applyFill="1" applyBorder="1" applyAlignment="1">
      <alignment horizontal="center" vertical="center"/>
    </xf>
    <xf numFmtId="0" fontId="1" fillId="0" borderId="49" xfId="4" applyNumberFormat="1" applyFill="1" applyBorder="1" applyAlignment="1" applyProtection="1">
      <alignment horizontal="center" vertical="center"/>
      <protection locked="0"/>
    </xf>
    <xf numFmtId="0" fontId="1" fillId="0" borderId="37" xfId="4" applyNumberFormat="1" applyFill="1" applyBorder="1" applyAlignment="1" applyProtection="1">
      <alignment horizontal="center" vertical="center"/>
      <protection locked="0"/>
    </xf>
    <xf numFmtId="0" fontId="11" fillId="39" borderId="3" xfId="172" applyFont="1" applyBorder="1" applyAlignment="1">
      <alignment horizontal="center" vertical="center"/>
    </xf>
    <xf numFmtId="0" fontId="11" fillId="39" borderId="4" xfId="172" applyFont="1" applyBorder="1" applyAlignment="1">
      <alignment horizontal="left" vertical="center"/>
    </xf>
    <xf numFmtId="0" fontId="11" fillId="39" borderId="4" xfId="172" applyFont="1" applyBorder="1" applyAlignment="1">
      <alignment vertical="center"/>
    </xf>
    <xf numFmtId="0" fontId="6" fillId="0" borderId="7" xfId="18" applyFont="1" applyFill="1" applyBorder="1" applyAlignment="1">
      <alignment horizontal="center" vertical="center"/>
    </xf>
    <xf numFmtId="10" fontId="6" fillId="0" borderId="5" xfId="3" applyNumberFormat="1" applyFont="1" applyFill="1" applyBorder="1" applyAlignment="1">
      <alignment horizontal="center" vertical="center"/>
    </xf>
    <xf numFmtId="10" fontId="6" fillId="0" borderId="8" xfId="3" applyNumberFormat="1" applyFont="1" applyFill="1" applyBorder="1" applyAlignment="1">
      <alignment horizontal="center" vertical="center"/>
    </xf>
    <xf numFmtId="10" fontId="6" fillId="0" borderId="1" xfId="3" applyNumberFormat="1" applyFont="1" applyFill="1" applyBorder="1" applyAlignment="1">
      <alignment horizontal="center" vertical="center"/>
    </xf>
    <xf numFmtId="44" fontId="0" fillId="0" borderId="55" xfId="18" applyNumberFormat="1" applyFont="1" applyFill="1" applyBorder="1" applyAlignment="1">
      <alignment horizontal="center" vertical="center"/>
    </xf>
    <xf numFmtId="0" fontId="11" fillId="39" borderId="6" xfId="172" applyFont="1" applyBorder="1" applyAlignment="1">
      <alignment horizontal="center" vertical="center"/>
    </xf>
    <xf numFmtId="0" fontId="11" fillId="39" borderId="2" xfId="172" applyFont="1" applyBorder="1" applyAlignment="1">
      <alignment horizontal="left" vertical="center"/>
    </xf>
    <xf numFmtId="0" fontId="11" fillId="39" borderId="8" xfId="172" applyFont="1" applyBorder="1" applyAlignment="1">
      <alignment vertical="center"/>
    </xf>
    <xf numFmtId="44" fontId="11" fillId="39" borderId="48" xfId="172" applyNumberFormat="1" applyFont="1" applyBorder="1" applyAlignment="1">
      <alignment vertical="center"/>
    </xf>
    <xf numFmtId="0" fontId="6" fillId="0" borderId="53" xfId="4" applyFont="1" applyFill="1" applyBorder="1" applyAlignment="1">
      <alignment vertical="center"/>
    </xf>
    <xf numFmtId="0" fontId="2" fillId="0" borderId="5" xfId="172" applyFill="1" applyBorder="1" applyAlignment="1">
      <alignment vertical="center"/>
    </xf>
    <xf numFmtId="0" fontId="14" fillId="0" borderId="54" xfId="18" applyFont="1" applyFill="1" applyBorder="1" applyAlignment="1">
      <alignment horizontal="left" vertical="center"/>
    </xf>
    <xf numFmtId="44" fontId="0" fillId="0" borderId="60" xfId="4" applyNumberFormat="1" applyFont="1" applyFill="1" applyBorder="1" applyAlignment="1">
      <alignment horizontal="center" vertical="center"/>
    </xf>
    <xf numFmtId="0" fontId="14" fillId="0" borderId="46" xfId="18" applyFont="1" applyFill="1" applyBorder="1" applyAlignment="1">
      <alignment horizontal="left" vertical="center"/>
    </xf>
    <xf numFmtId="0" fontId="0" fillId="0" borderId="50" xfId="18" applyNumberFormat="1" applyFont="1" applyFill="1" applyBorder="1" applyAlignment="1" applyProtection="1">
      <alignment horizontal="center" vertical="center"/>
      <protection locked="0"/>
    </xf>
    <xf numFmtId="0" fontId="0" fillId="0" borderId="50" xfId="4" applyNumberFormat="1" applyFont="1" applyFill="1" applyBorder="1" applyAlignment="1" applyProtection="1">
      <alignment horizontal="center" vertical="center"/>
      <protection locked="0"/>
    </xf>
    <xf numFmtId="9" fontId="0" fillId="0" borderId="50" xfId="18" applyNumberFormat="1" applyFont="1" applyFill="1" applyBorder="1" applyAlignment="1" applyProtection="1">
      <alignment horizontal="center" vertical="center"/>
      <protection locked="0"/>
    </xf>
    <xf numFmtId="0" fontId="14" fillId="0" borderId="54" xfId="4" applyFont="1" applyFill="1" applyBorder="1" applyAlignment="1">
      <alignment horizontal="left" vertical="center"/>
    </xf>
    <xf numFmtId="44" fontId="1" fillId="0" borderId="60" xfId="4" applyNumberFormat="1" applyFill="1" applyBorder="1" applyAlignment="1" applyProtection="1">
      <alignment horizontal="center" vertical="center"/>
      <protection locked="0"/>
    </xf>
    <xf numFmtId="0" fontId="14" fillId="0" borderId="46" xfId="4" applyFont="1" applyFill="1" applyBorder="1" applyAlignment="1">
      <alignment horizontal="left" vertical="center"/>
    </xf>
    <xf numFmtId="0" fontId="1" fillId="0" borderId="50" xfId="4" applyNumberFormat="1" applyFill="1" applyBorder="1" applyAlignment="1" applyProtection="1">
      <alignment horizontal="center" vertical="center"/>
      <protection locked="0"/>
    </xf>
    <xf numFmtId="9" fontId="1" fillId="0" borderId="50" xfId="4" applyNumberFormat="1" applyFill="1" applyBorder="1" applyAlignment="1" applyProtection="1">
      <alignment horizontal="center" vertical="center"/>
      <protection locked="0"/>
    </xf>
    <xf numFmtId="44" fontId="0" fillId="0" borderId="60" xfId="18" applyNumberFormat="1" applyFont="1" applyFill="1" applyBorder="1" applyAlignment="1" applyProtection="1">
      <alignment horizontal="center" vertical="center"/>
      <protection locked="0"/>
    </xf>
    <xf numFmtId="44" fontId="1" fillId="0" borderId="48" xfId="4" applyNumberFormat="1" applyFill="1" applyBorder="1" applyAlignment="1" applyProtection="1">
      <alignment horizontal="center" vertical="center"/>
    </xf>
    <xf numFmtId="44" fontId="1" fillId="0" borderId="60" xfId="4" applyNumberFormat="1" applyFill="1" applyBorder="1" applyAlignment="1">
      <alignment horizontal="right" vertical="center"/>
    </xf>
    <xf numFmtId="44" fontId="1" fillId="0" borderId="61" xfId="4" applyNumberFormat="1" applyFill="1" applyBorder="1" applyAlignment="1">
      <alignment horizontal="right" vertical="center"/>
    </xf>
    <xf numFmtId="44" fontId="1" fillId="0" borderId="48" xfId="4" applyNumberFormat="1" applyFill="1" applyBorder="1" applyAlignment="1">
      <alignment horizontal="right" vertical="center"/>
    </xf>
    <xf numFmtId="10" fontId="1" fillId="0" borderId="50" xfId="4" applyNumberFormat="1" applyFill="1" applyBorder="1" applyAlignment="1">
      <alignment horizontal="right" vertical="center"/>
    </xf>
    <xf numFmtId="10" fontId="1" fillId="0" borderId="47" xfId="4" applyNumberFormat="1" applyFill="1" applyBorder="1" applyAlignment="1">
      <alignment horizontal="right" vertical="center"/>
    </xf>
    <xf numFmtId="0" fontId="14" fillId="0" borderId="54" xfId="4" applyFont="1" applyFill="1" applyBorder="1" applyAlignment="1">
      <alignment horizontal="left" vertical="center" indent="2"/>
    </xf>
    <xf numFmtId="44" fontId="0" fillId="0" borderId="61" xfId="4" applyNumberFormat="1" applyFont="1" applyFill="1" applyBorder="1" applyAlignment="1" applyProtection="1">
      <alignment horizontal="right" vertical="center"/>
      <protection locked="0"/>
    </xf>
    <xf numFmtId="10" fontId="0" fillId="0" borderId="47" xfId="18" applyNumberFormat="1" applyFont="1" applyFill="1" applyBorder="1" applyAlignment="1">
      <alignment horizontal="right" vertical="center"/>
    </xf>
    <xf numFmtId="10" fontId="0" fillId="0" borderId="47" xfId="4" applyNumberFormat="1" applyFont="1" applyFill="1" applyBorder="1" applyAlignment="1">
      <alignment horizontal="right" vertical="center"/>
    </xf>
    <xf numFmtId="44" fontId="6" fillId="0" borderId="8" xfId="18" applyNumberFormat="1" applyFont="1" applyFill="1" applyBorder="1" applyAlignment="1">
      <alignment horizontal="center" vertical="center"/>
    </xf>
    <xf numFmtId="44" fontId="6" fillId="0" borderId="58" xfId="18" applyNumberFormat="1" applyFont="1" applyFill="1" applyBorder="1" applyAlignment="1">
      <alignment horizontal="center" vertical="center"/>
    </xf>
    <xf numFmtId="44" fontId="0" fillId="0" borderId="61" xfId="18" applyNumberFormat="1" applyFont="1" applyFill="1" applyBorder="1" applyAlignment="1">
      <alignment horizontal="right" vertical="center"/>
    </xf>
    <xf numFmtId="10" fontId="1" fillId="0" borderId="61" xfId="4" applyNumberForma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14" fillId="0" borderId="52" xfId="18" applyFont="1" applyFill="1" applyBorder="1" applyAlignment="1">
      <alignment horizontal="left" vertical="center" indent="2"/>
    </xf>
    <xf numFmtId="0" fontId="0" fillId="0" borderId="43" xfId="0" applyBorder="1" applyAlignment="1" applyProtection="1">
      <alignment vertical="center"/>
      <protection locked="0"/>
    </xf>
    <xf numFmtId="0" fontId="6" fillId="0" borderId="63" xfId="4" applyNumberFormat="1" applyFont="1" applyFill="1" applyBorder="1" applyAlignment="1">
      <alignment horizontal="center" vertical="center"/>
    </xf>
    <xf numFmtId="44" fontId="6" fillId="0" borderId="63" xfId="18" applyNumberFormat="1" applyFont="1" applyFill="1" applyBorder="1" applyAlignment="1">
      <alignment horizontal="center" vertical="center"/>
    </xf>
    <xf numFmtId="0" fontId="6" fillId="0" borderId="22" xfId="171" applyFont="1" applyFill="1" applyBorder="1" applyAlignment="1">
      <alignment vertical="center"/>
    </xf>
    <xf numFmtId="0" fontId="6" fillId="0" borderId="1" xfId="171" applyFont="1" applyFill="1" applyBorder="1" applyAlignment="1">
      <alignment horizontal="center" vertical="center"/>
    </xf>
    <xf numFmtId="0" fontId="6" fillId="0" borderId="4" xfId="4" applyFont="1" applyFill="1" applyBorder="1" applyAlignment="1">
      <alignment vertical="center"/>
    </xf>
    <xf numFmtId="0" fontId="6" fillId="0" borderId="4" xfId="18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left" vertical="center" indent="2"/>
    </xf>
    <xf numFmtId="0" fontId="1" fillId="0" borderId="1" xfId="4" applyFill="1" applyBorder="1" applyAlignment="1">
      <alignment horizontal="center" vertical="center"/>
    </xf>
    <xf numFmtId="0" fontId="6" fillId="0" borderId="22" xfId="4" applyFont="1" applyFill="1" applyBorder="1" applyAlignment="1">
      <alignment vertical="center"/>
    </xf>
    <xf numFmtId="0" fontId="11" fillId="5" borderId="1" xfId="5" applyFont="1" applyFill="1" applyBorder="1" applyAlignment="1">
      <alignment vertical="center"/>
    </xf>
    <xf numFmtId="0" fontId="14" fillId="0" borderId="36" xfId="4" applyFont="1" applyFill="1" applyBorder="1" applyAlignment="1">
      <alignment horizontal="left" vertical="center" indent="2"/>
    </xf>
    <xf numFmtId="9" fontId="1" fillId="0" borderId="49" xfId="4" applyNumberForma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left" vertical="center" indent="2"/>
    </xf>
    <xf numFmtId="9" fontId="6" fillId="0" borderId="55" xfId="171" applyNumberFormat="1" applyFont="1" applyFill="1" applyBorder="1" applyAlignment="1" applyProtection="1">
      <alignment horizontal="center" vertical="center"/>
    </xf>
    <xf numFmtId="44" fontId="1" fillId="0" borderId="39" xfId="4" applyNumberFormat="1" applyFill="1" applyBorder="1" applyAlignment="1" applyProtection="1">
      <alignment horizontal="center" vertical="center"/>
    </xf>
    <xf numFmtId="44" fontId="1" fillId="0" borderId="55" xfId="4" applyNumberFormat="1" applyFill="1" applyBorder="1" applyAlignment="1" applyProtection="1">
      <alignment horizontal="center" vertical="center"/>
    </xf>
    <xf numFmtId="44" fontId="0" fillId="0" borderId="39" xfId="18" applyNumberFormat="1" applyFont="1" applyFill="1" applyBorder="1" applyAlignment="1" applyProtection="1">
      <alignment horizontal="center" vertical="center"/>
    </xf>
    <xf numFmtId="44" fontId="0" fillId="0" borderId="39" xfId="4" applyNumberFormat="1" applyFont="1" applyFill="1" applyBorder="1" applyAlignment="1" applyProtection="1">
      <alignment horizontal="center" vertical="center"/>
    </xf>
    <xf numFmtId="44" fontId="2" fillId="0" borderId="39" xfId="172" applyNumberFormat="1" applyFill="1" applyBorder="1" applyAlignment="1" applyProtection="1">
      <alignment vertical="center"/>
    </xf>
    <xf numFmtId="44" fontId="0" fillId="0" borderId="57" xfId="18" applyNumberFormat="1" applyFont="1" applyFill="1" applyBorder="1" applyAlignment="1" applyProtection="1">
      <alignment horizontal="center" vertical="center"/>
    </xf>
    <xf numFmtId="44" fontId="1" fillId="0" borderId="57" xfId="4" applyNumberForma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55" xfId="0" applyBorder="1" applyAlignment="1">
      <alignment vertical="center"/>
    </xf>
    <xf numFmtId="9" fontId="14" fillId="0" borderId="49" xfId="4" applyNumberFormat="1" applyFont="1" applyFill="1" applyBorder="1" applyAlignment="1" applyProtection="1">
      <alignment horizontal="center" vertical="center"/>
      <protection locked="0"/>
    </xf>
    <xf numFmtId="44" fontId="14" fillId="0" borderId="49" xfId="18" applyNumberFormat="1" applyFont="1" applyFill="1" applyBorder="1" applyAlignment="1" applyProtection="1">
      <alignment horizontal="center" vertical="center"/>
      <protection locked="0"/>
    </xf>
    <xf numFmtId="9" fontId="14" fillId="0" borderId="50" xfId="4" applyNumberFormat="1" applyFont="1" applyFill="1" applyBorder="1" applyAlignment="1" applyProtection="1">
      <alignment horizontal="center" vertical="center"/>
      <protection locked="0"/>
    </xf>
    <xf numFmtId="44" fontId="0" fillId="0" borderId="64" xfId="4" applyNumberFormat="1" applyFont="1" applyFill="1" applyBorder="1" applyAlignment="1">
      <alignment horizontal="center" vertical="center"/>
    </xf>
    <xf numFmtId="0" fontId="7" fillId="0" borderId="38" xfId="6" applyFont="1" applyBorder="1" applyAlignment="1" applyProtection="1">
      <alignment horizontal="center"/>
      <protection locked="0"/>
    </xf>
    <xf numFmtId="0" fontId="7" fillId="0" borderId="38" xfId="6" applyFont="1" applyBorder="1" applyAlignment="1" applyProtection="1">
      <alignment horizontal="center" vertical="center"/>
      <protection locked="0"/>
    </xf>
    <xf numFmtId="0" fontId="7" fillId="0" borderId="38" xfId="6" applyFont="1" applyBorder="1" applyProtection="1">
      <protection locked="0"/>
    </xf>
    <xf numFmtId="44" fontId="7" fillId="0" borderId="38" xfId="2" applyFont="1" applyFill="1" applyBorder="1" applyProtection="1">
      <protection locked="0"/>
    </xf>
    <xf numFmtId="0" fontId="8" fillId="3" borderId="38" xfId="5" applyFont="1" applyBorder="1" applyAlignment="1" applyProtection="1">
      <alignment horizontal="right"/>
    </xf>
    <xf numFmtId="44" fontId="8" fillId="3" borderId="38" xfId="5" applyNumberFormat="1" applyFont="1" applyBorder="1" applyAlignment="1" applyProtection="1">
      <alignment horizontal="center"/>
    </xf>
    <xf numFmtId="0" fontId="11" fillId="39" borderId="38" xfId="172" applyFont="1" applyBorder="1" applyAlignment="1">
      <alignment horizontal="center" vertical="center" wrapText="1"/>
    </xf>
    <xf numFmtId="44" fontId="11" fillId="39" borderId="38" xfId="172" applyNumberFormat="1" applyFont="1" applyBorder="1" applyAlignment="1">
      <alignment horizontal="center" vertical="center" wrapText="1"/>
    </xf>
    <xf numFmtId="44" fontId="7" fillId="0" borderId="38" xfId="2" applyFont="1" applyFill="1" applyBorder="1" applyAlignment="1" applyProtection="1">
      <alignment horizontal="center"/>
      <protection locked="0"/>
    </xf>
    <xf numFmtId="10" fontId="0" fillId="0" borderId="0" xfId="3" applyNumberFormat="1" applyFont="1" applyBorder="1" applyProtection="1"/>
    <xf numFmtId="44" fontId="0" fillId="0" borderId="38" xfId="2" applyFont="1" applyFill="1" applyBorder="1" applyAlignment="1" applyProtection="1">
      <alignment horizontal="center" vertical="center"/>
      <protection locked="0"/>
    </xf>
    <xf numFmtId="10" fontId="6" fillId="0" borderId="8" xfId="18" applyNumberFormat="1" applyFont="1" applyFill="1" applyBorder="1" applyAlignment="1">
      <alignment horizontal="center" vertical="center"/>
    </xf>
    <xf numFmtId="0" fontId="11" fillId="37" borderId="11" xfId="165" applyFont="1" applyBorder="1" applyAlignment="1">
      <alignment horizontal="left" vertical="center"/>
    </xf>
    <xf numFmtId="0" fontId="11" fillId="37" borderId="66" xfId="165" applyFont="1" applyBorder="1" applyAlignment="1">
      <alignment horizontal="center" vertical="center" wrapText="1"/>
    </xf>
    <xf numFmtId="0" fontId="11" fillId="37" borderId="66" xfId="165" applyFont="1" applyBorder="1" applyAlignment="1">
      <alignment horizontal="left" vertical="center" wrapText="1"/>
    </xf>
    <xf numFmtId="14" fontId="11" fillId="37" borderId="66" xfId="165" applyNumberFormat="1" applyFont="1" applyBorder="1" applyAlignment="1">
      <alignment horizontal="center" vertical="center" wrapText="1"/>
    </xf>
    <xf numFmtId="44" fontId="11" fillId="37" borderId="66" xfId="2" applyFont="1" applyFill="1" applyBorder="1" applyAlignment="1">
      <alignment horizontal="center" vertical="center" wrapText="1"/>
    </xf>
    <xf numFmtId="188" fontId="11" fillId="37" borderId="66" xfId="165" applyNumberFormat="1" applyFont="1" applyBorder="1" applyAlignment="1">
      <alignment horizontal="center" vertical="center" wrapText="1"/>
    </xf>
    <xf numFmtId="44" fontId="11" fillId="37" borderId="66" xfId="165" applyNumberFormat="1" applyFont="1" applyBorder="1" applyAlignment="1">
      <alignment horizontal="center" vertical="center" wrapText="1"/>
    </xf>
    <xf numFmtId="0" fontId="0" fillId="0" borderId="50" xfId="0" applyBorder="1"/>
    <xf numFmtId="0" fontId="41" fillId="0" borderId="50" xfId="0" applyFont="1" applyBorder="1"/>
    <xf numFmtId="0" fontId="0" fillId="0" borderId="50" xfId="0" applyBorder="1" applyAlignment="1">
      <alignment horizontal="center" vertical="center" wrapText="1"/>
    </xf>
    <xf numFmtId="14" fontId="0" fillId="0" borderId="50" xfId="0" applyNumberFormat="1" applyBorder="1" applyAlignment="1">
      <alignment horizontal="center" vertical="center" wrapText="1"/>
    </xf>
    <xf numFmtId="44" fontId="0" fillId="0" borderId="50" xfId="2" applyFont="1" applyBorder="1" applyAlignment="1">
      <alignment horizontal="center" vertical="center" wrapText="1"/>
    </xf>
    <xf numFmtId="188" fontId="0" fillId="0" borderId="50" xfId="2" applyNumberFormat="1" applyFont="1" applyBorder="1" applyAlignment="1">
      <alignment horizontal="center" vertical="center" wrapText="1"/>
    </xf>
    <xf numFmtId="9" fontId="0" fillId="0" borderId="50" xfId="0" applyNumberFormat="1" applyBorder="1" applyAlignment="1">
      <alignment horizontal="center" vertical="center" wrapText="1"/>
    </xf>
    <xf numFmtId="44" fontId="0" fillId="0" borderId="50" xfId="2" applyFont="1" applyBorder="1"/>
    <xf numFmtId="0" fontId="0" fillId="0" borderId="50" xfId="0" applyBorder="1" applyAlignment="1">
      <alignment horizontal="center"/>
    </xf>
    <xf numFmtId="188" fontId="0" fillId="0" borderId="50" xfId="0" applyNumberFormat="1" applyBorder="1" applyAlignment="1">
      <alignment horizontal="center"/>
    </xf>
    <xf numFmtId="0" fontId="7" fillId="0" borderId="50" xfId="0" applyFont="1" applyBorder="1"/>
    <xf numFmtId="44" fontId="0" fillId="0" borderId="50" xfId="0" applyNumberFormat="1" applyBorder="1"/>
    <xf numFmtId="0" fontId="7" fillId="0" borderId="64" xfId="0" applyFont="1" applyBorder="1"/>
    <xf numFmtId="0" fontId="41" fillId="0" borderId="64" xfId="0" applyFont="1" applyBorder="1"/>
    <xf numFmtId="0" fontId="0" fillId="0" borderId="64" xfId="0" applyBorder="1" applyAlignment="1">
      <alignment horizontal="center" vertical="center" wrapText="1"/>
    </xf>
    <xf numFmtId="14" fontId="0" fillId="0" borderId="64" xfId="0" applyNumberFormat="1" applyBorder="1" applyAlignment="1">
      <alignment horizontal="center" vertical="center" wrapText="1"/>
    </xf>
    <xf numFmtId="44" fontId="0" fillId="0" borderId="64" xfId="2" applyFont="1" applyBorder="1"/>
    <xf numFmtId="188" fontId="0" fillId="0" borderId="64" xfId="0" applyNumberFormat="1" applyBorder="1" applyAlignment="1">
      <alignment horizontal="center"/>
    </xf>
    <xf numFmtId="44" fontId="0" fillId="0" borderId="64" xfId="2" applyFont="1" applyBorder="1" applyAlignment="1">
      <alignment horizontal="center" vertical="center" wrapText="1"/>
    </xf>
    <xf numFmtId="0" fontId="0" fillId="0" borderId="64" xfId="0" applyBorder="1"/>
    <xf numFmtId="9" fontId="0" fillId="0" borderId="64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" fillId="0" borderId="38" xfId="18" applyFill="1" applyBorder="1" applyAlignment="1">
      <alignment horizontal="center" vertical="center"/>
    </xf>
    <xf numFmtId="0" fontId="7" fillId="0" borderId="12" xfId="6" applyFont="1" applyBorder="1"/>
    <xf numFmtId="0" fontId="7" fillId="0" borderId="12" xfId="6" applyFont="1" applyBorder="1" applyAlignment="1">
      <alignment horizontal="left"/>
    </xf>
    <xf numFmtId="0" fontId="11" fillId="39" borderId="10" xfId="172" applyFont="1" applyBorder="1" applyAlignment="1">
      <alignment horizontal="center" vertical="center"/>
    </xf>
    <xf numFmtId="0" fontId="11" fillId="39" borderId="11" xfId="172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2" applyFont="1" applyProtection="1">
      <protection locked="0"/>
    </xf>
    <xf numFmtId="44" fontId="6" fillId="3" borderId="38" xfId="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47" xfId="18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10" fontId="7" fillId="0" borderId="24" xfId="0" applyNumberFormat="1" applyFont="1" applyBorder="1" applyAlignment="1">
      <alignment horizontal="right" vertical="center"/>
    </xf>
    <xf numFmtId="0" fontId="8" fillId="0" borderId="68" xfId="18" applyFont="1" applyFill="1" applyBorder="1" applyAlignment="1">
      <alignment horizontal="left" vertical="center"/>
    </xf>
    <xf numFmtId="0" fontId="7" fillId="0" borderId="4" xfId="6" applyFont="1" applyBorder="1"/>
    <xf numFmtId="0" fontId="8" fillId="0" borderId="2" xfId="6" applyFont="1" applyBorder="1" applyAlignment="1">
      <alignment horizontal="right"/>
    </xf>
    <xf numFmtId="44" fontId="7" fillId="0" borderId="39" xfId="2" applyFont="1" applyFill="1" applyBorder="1" applyAlignment="1"/>
    <xf numFmtId="44" fontId="1" fillId="0" borderId="57" xfId="2" applyFont="1" applyFill="1" applyBorder="1" applyAlignment="1">
      <alignment horizontal="left" vertical="center"/>
    </xf>
    <xf numFmtId="0" fontId="8" fillId="0" borderId="65" xfId="13" applyFont="1" applyFill="1" applyBorder="1" applyAlignment="1">
      <alignment horizontal="center" vertical="center"/>
    </xf>
    <xf numFmtId="0" fontId="8" fillId="0" borderId="72" xfId="18" applyFont="1" applyFill="1" applyBorder="1" applyAlignment="1">
      <alignment horizontal="left" vertical="center"/>
    </xf>
    <xf numFmtId="44" fontId="7" fillId="0" borderId="38" xfId="2" applyFont="1" applyFill="1" applyBorder="1" applyAlignment="1">
      <alignment horizontal="center" vertical="center"/>
    </xf>
    <xf numFmtId="0" fontId="8" fillId="0" borderId="43" xfId="173" applyFont="1" applyFill="1" applyBorder="1" applyAlignment="1">
      <alignment vertical="center"/>
    </xf>
    <xf numFmtId="0" fontId="8" fillId="0" borderId="40" xfId="21" applyFont="1" applyFill="1" applyBorder="1" applyAlignment="1">
      <alignment horizontal="center" vertical="center"/>
    </xf>
    <xf numFmtId="0" fontId="8" fillId="0" borderId="44" xfId="20" applyFont="1" applyFill="1" applyBorder="1" applyAlignment="1">
      <alignment vertical="center"/>
    </xf>
    <xf numFmtId="0" fontId="8" fillId="0" borderId="65" xfId="21" applyFont="1" applyFill="1" applyBorder="1" applyAlignment="1">
      <alignment horizontal="center" vertical="center"/>
    </xf>
    <xf numFmtId="0" fontId="7" fillId="0" borderId="51" xfId="20" applyFont="1" applyFill="1" applyBorder="1" applyAlignment="1">
      <alignment vertical="center"/>
    </xf>
    <xf numFmtId="0" fontId="8" fillId="0" borderId="42" xfId="20" applyFont="1" applyFill="1" applyBorder="1" applyAlignment="1">
      <alignment horizontal="center" vertical="center"/>
    </xf>
    <xf numFmtId="0" fontId="7" fillId="0" borderId="43" xfId="20" applyFont="1" applyFill="1" applyBorder="1" applyAlignment="1">
      <alignment vertical="center"/>
    </xf>
    <xf numFmtId="0" fontId="8" fillId="0" borderId="4" xfId="20" applyFont="1" applyFill="1" applyBorder="1" applyAlignment="1">
      <alignment vertical="center"/>
    </xf>
    <xf numFmtId="0" fontId="7" fillId="0" borderId="2" xfId="20" applyFont="1" applyFill="1" applyBorder="1" applyAlignment="1">
      <alignment vertical="center"/>
    </xf>
    <xf numFmtId="0" fontId="42" fillId="0" borderId="73" xfId="18" applyFont="1" applyFill="1" applyBorder="1" applyAlignment="1">
      <alignment horizontal="left" vertical="center" indent="2"/>
    </xf>
    <xf numFmtId="44" fontId="7" fillId="0" borderId="54" xfId="2" applyFont="1" applyFill="1" applyBorder="1" applyAlignment="1">
      <alignment horizontal="left" vertical="center"/>
    </xf>
    <xf numFmtId="0" fontId="42" fillId="0" borderId="74" xfId="18" applyFont="1" applyFill="1" applyBorder="1" applyAlignment="1">
      <alignment horizontal="left" vertical="center" indent="2"/>
    </xf>
    <xf numFmtId="1" fontId="7" fillId="0" borderId="46" xfId="2" applyNumberFormat="1" applyFont="1" applyFill="1" applyBorder="1" applyAlignment="1">
      <alignment horizontal="center" vertical="center"/>
    </xf>
    <xf numFmtId="44" fontId="7" fillId="0" borderId="59" xfId="2" applyFont="1" applyFill="1" applyBorder="1" applyAlignment="1">
      <alignment horizontal="left" vertical="center"/>
    </xf>
    <xf numFmtId="44" fontId="7" fillId="0" borderId="52" xfId="2" applyFont="1" applyFill="1" applyBorder="1" applyAlignment="1">
      <alignment horizontal="left" vertical="center"/>
    </xf>
    <xf numFmtId="44" fontId="1" fillId="0" borderId="56" xfId="2" applyFont="1" applyFill="1" applyBorder="1" applyAlignment="1">
      <alignment horizontal="left" vertical="center"/>
    </xf>
    <xf numFmtId="182" fontId="1" fillId="0" borderId="59" xfId="2" applyNumberFormat="1" applyFont="1" applyFill="1" applyBorder="1" applyAlignment="1">
      <alignment horizontal="center" vertical="center"/>
    </xf>
    <xf numFmtId="182" fontId="1" fillId="0" borderId="52" xfId="2" applyNumberFormat="1" applyFont="1" applyFill="1" applyBorder="1" applyAlignment="1">
      <alignment horizontal="center" vertical="center"/>
    </xf>
    <xf numFmtId="44" fontId="1" fillId="0" borderId="52" xfId="2" applyFont="1" applyFill="1" applyBorder="1" applyAlignment="1">
      <alignment horizontal="left" vertical="center"/>
    </xf>
    <xf numFmtId="0" fontId="42" fillId="0" borderId="54" xfId="18" applyFont="1" applyFill="1" applyBorder="1" applyAlignment="1">
      <alignment horizontal="left" vertical="center" indent="2"/>
    </xf>
    <xf numFmtId="0" fontId="42" fillId="0" borderId="46" xfId="18" applyFont="1" applyFill="1" applyBorder="1" applyAlignment="1">
      <alignment horizontal="left" vertical="center" indent="2"/>
    </xf>
    <xf numFmtId="0" fontId="6" fillId="0" borderId="56" xfId="18" applyFont="1" applyFill="1" applyBorder="1" applyAlignment="1">
      <alignment horizontal="left" vertical="center"/>
    </xf>
    <xf numFmtId="0" fontId="14" fillId="0" borderId="59" xfId="18" applyFont="1" applyFill="1" applyBorder="1" applyAlignment="1">
      <alignment horizontal="left" vertical="center" indent="2"/>
    </xf>
    <xf numFmtId="9" fontId="7" fillId="0" borderId="52" xfId="2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9" fontId="7" fillId="0" borderId="52" xfId="3" applyFont="1" applyFill="1" applyBorder="1" applyAlignment="1">
      <alignment horizontal="center" vertical="center"/>
    </xf>
    <xf numFmtId="0" fontId="42" fillId="0" borderId="52" xfId="18" applyFont="1" applyFill="1" applyBorder="1" applyAlignment="1">
      <alignment horizontal="left" vertical="center" indent="2"/>
    </xf>
    <xf numFmtId="0" fontId="7" fillId="0" borderId="5" xfId="6" applyFont="1" applyBorder="1"/>
    <xf numFmtId="9" fontId="7" fillId="0" borderId="61" xfId="2" applyNumberFormat="1" applyFont="1" applyFill="1" applyBorder="1" applyAlignment="1">
      <alignment horizontal="center" vertical="center"/>
    </xf>
    <xf numFmtId="9" fontId="7" fillId="0" borderId="37" xfId="2" applyNumberFormat="1" applyFont="1" applyFill="1" applyBorder="1" applyAlignment="1">
      <alignment horizontal="center" vertical="center"/>
    </xf>
    <xf numFmtId="9" fontId="7" fillId="0" borderId="47" xfId="2" applyNumberFormat="1" applyFont="1" applyFill="1" applyBorder="1" applyAlignment="1">
      <alignment horizontal="center" vertical="center"/>
    </xf>
    <xf numFmtId="0" fontId="11" fillId="37" borderId="55" xfId="165" applyFont="1" applyBorder="1" applyAlignment="1">
      <alignment horizontal="center" vertical="center" wrapText="1"/>
    </xf>
    <xf numFmtId="0" fontId="11" fillId="37" borderId="55" xfId="165" applyFont="1" applyBorder="1" applyAlignment="1">
      <alignment horizontal="left" vertical="center" wrapText="1"/>
    </xf>
    <xf numFmtId="14" fontId="11" fillId="37" borderId="55" xfId="165" applyNumberFormat="1" applyFont="1" applyBorder="1" applyAlignment="1">
      <alignment horizontal="center" vertical="center" wrapText="1"/>
    </xf>
    <xf numFmtId="44" fontId="11" fillId="37" borderId="55" xfId="2" applyFont="1" applyFill="1" applyBorder="1" applyAlignment="1">
      <alignment horizontal="center" vertical="center" wrapText="1"/>
    </xf>
    <xf numFmtId="188" fontId="11" fillId="37" borderId="55" xfId="165" applyNumberFormat="1" applyFont="1" applyBorder="1" applyAlignment="1">
      <alignment horizontal="center" vertical="center" wrapText="1"/>
    </xf>
    <xf numFmtId="44" fontId="11" fillId="37" borderId="55" xfId="165" applyNumberFormat="1" applyFont="1" applyBorder="1" applyAlignment="1">
      <alignment horizontal="center" vertical="center" wrapText="1"/>
    </xf>
    <xf numFmtId="0" fontId="0" fillId="0" borderId="66" xfId="0" applyBorder="1"/>
    <xf numFmtId="0" fontId="0" fillId="0" borderId="66" xfId="0" applyBorder="1" applyAlignment="1">
      <alignment horizontal="center" vertical="center" wrapText="1"/>
    </xf>
    <xf numFmtId="0" fontId="41" fillId="0" borderId="66" xfId="0" applyFont="1" applyBorder="1"/>
    <xf numFmtId="14" fontId="0" fillId="0" borderId="66" xfId="0" applyNumberFormat="1" applyBorder="1" applyAlignment="1">
      <alignment horizontal="center" vertical="center" wrapText="1"/>
    </xf>
    <xf numFmtId="44" fontId="0" fillId="0" borderId="66" xfId="2" applyFont="1" applyBorder="1" applyAlignment="1">
      <alignment horizontal="center" vertical="center" wrapText="1"/>
    </xf>
    <xf numFmtId="188" fontId="0" fillId="0" borderId="66" xfId="2" applyNumberFormat="1" applyFont="1" applyBorder="1" applyAlignment="1">
      <alignment horizontal="center" vertical="center" wrapText="1"/>
    </xf>
    <xf numFmtId="9" fontId="0" fillId="0" borderId="66" xfId="0" applyNumberFormat="1" applyBorder="1" applyAlignment="1">
      <alignment horizontal="center" vertical="center" wrapText="1"/>
    </xf>
    <xf numFmtId="0" fontId="6" fillId="0" borderId="23" xfId="18" applyFont="1" applyFill="1" applyBorder="1" applyAlignment="1">
      <alignment horizontal="left" vertical="center"/>
    </xf>
    <xf numFmtId="44" fontId="6" fillId="0" borderId="64" xfId="2" applyFont="1" applyFill="1" applyBorder="1" applyAlignment="1">
      <alignment horizontal="left" vertical="center"/>
    </xf>
    <xf numFmtId="44" fontId="8" fillId="0" borderId="48" xfId="2" applyFont="1" applyFill="1" applyBorder="1" applyAlignment="1">
      <alignment horizontal="left" vertical="center"/>
    </xf>
    <xf numFmtId="44" fontId="1" fillId="0" borderId="4" xfId="2" applyFont="1" applyFill="1" applyBorder="1" applyAlignment="1">
      <alignment horizontal="left" vertical="center"/>
    </xf>
    <xf numFmtId="44" fontId="1" fillId="0" borderId="39" xfId="2" applyFont="1" applyFill="1" applyBorder="1" applyAlignment="1">
      <alignment horizontal="left" vertical="center"/>
    </xf>
    <xf numFmtId="44" fontId="8" fillId="0" borderId="71" xfId="2" applyFont="1" applyFill="1" applyBorder="1" applyAlignment="1">
      <alignment horizontal="center" vertical="center"/>
    </xf>
    <xf numFmtId="44" fontId="11" fillId="37" borderId="38" xfId="165" applyNumberFormat="1" applyFont="1" applyBorder="1" applyAlignment="1">
      <alignment vertical="center"/>
    </xf>
    <xf numFmtId="10" fontId="0" fillId="0" borderId="50" xfId="2" applyNumberFormat="1" applyFont="1" applyBorder="1" applyAlignment="1">
      <alignment horizontal="center" vertical="center" wrapText="1"/>
    </xf>
    <xf numFmtId="10" fontId="6" fillId="0" borderId="2" xfId="3" applyNumberFormat="1" applyFont="1" applyFill="1" applyBorder="1" applyAlignment="1" applyProtection="1">
      <alignment horizontal="center"/>
    </xf>
    <xf numFmtId="44" fontId="0" fillId="0" borderId="52" xfId="2" applyFont="1" applyBorder="1" applyProtection="1"/>
    <xf numFmtId="44" fontId="0" fillId="0" borderId="47" xfId="2" applyFont="1" applyBorder="1" applyProtection="1"/>
    <xf numFmtId="0" fontId="8" fillId="0" borderId="39" xfId="21" applyFont="1" applyFill="1" applyBorder="1" applyAlignment="1" applyProtection="1">
      <alignment horizontal="center" vertical="center"/>
      <protection locked="0"/>
    </xf>
    <xf numFmtId="0" fontId="8" fillId="0" borderId="5" xfId="21" applyFont="1" applyFill="1" applyBorder="1" applyAlignment="1" applyProtection="1">
      <alignment horizontal="center" vertical="center"/>
      <protection locked="0"/>
    </xf>
    <xf numFmtId="0" fontId="7" fillId="0" borderId="38" xfId="21" applyFont="1" applyFill="1" applyBorder="1" applyAlignment="1" applyProtection="1">
      <alignment horizontal="center" vertical="center"/>
      <protection locked="0"/>
    </xf>
    <xf numFmtId="182" fontId="7" fillId="0" borderId="48" xfId="21" applyNumberFormat="1" applyFont="1" applyFill="1" applyBorder="1" applyAlignment="1" applyProtection="1">
      <alignment horizontal="center" vertical="center"/>
      <protection locked="0"/>
    </xf>
    <xf numFmtId="182" fontId="7" fillId="0" borderId="8" xfId="21" applyNumberFormat="1" applyFont="1" applyFill="1" applyBorder="1" applyAlignment="1" applyProtection="1">
      <alignment horizontal="center" vertical="center"/>
      <protection locked="0"/>
    </xf>
    <xf numFmtId="44" fontId="1" fillId="0" borderId="50" xfId="4" applyNumberFormat="1" applyFill="1" applyBorder="1" applyAlignment="1" applyProtection="1">
      <alignment horizontal="center" vertical="center"/>
      <protection locked="0"/>
    </xf>
    <xf numFmtId="44" fontId="0" fillId="0" borderId="48" xfId="18" applyNumberFormat="1" applyFont="1" applyFill="1" applyBorder="1" applyAlignment="1" applyProtection="1">
      <alignment horizontal="center" vertical="center"/>
      <protection locked="0"/>
    </xf>
    <xf numFmtId="44" fontId="0" fillId="0" borderId="39" xfId="18" applyNumberFormat="1" applyFont="1" applyFill="1" applyBorder="1" applyAlignment="1" applyProtection="1">
      <alignment horizontal="center" vertical="center"/>
      <protection locked="0"/>
    </xf>
    <xf numFmtId="0" fontId="7" fillId="0" borderId="38" xfId="6" applyFont="1" applyBorder="1" applyAlignment="1" applyProtection="1">
      <alignment horizontal="left" vertical="center"/>
      <protection locked="0"/>
    </xf>
    <xf numFmtId="0" fontId="0" fillId="0" borderId="38" xfId="0" applyBorder="1"/>
    <xf numFmtId="0" fontId="8" fillId="0" borderId="43" xfId="18" applyFont="1" applyFill="1" applyBorder="1" applyAlignment="1">
      <alignment vertical="center"/>
    </xf>
    <xf numFmtId="190" fontId="14" fillId="0" borderId="49" xfId="3" applyNumberFormat="1" applyFont="1" applyFill="1" applyBorder="1" applyAlignment="1" applyProtection="1">
      <alignment horizontal="center" vertical="center"/>
      <protection locked="0"/>
    </xf>
    <xf numFmtId="0" fontId="11" fillId="37" borderId="38" xfId="165" applyFont="1" applyBorder="1" applyAlignment="1" applyProtection="1">
      <alignment horizontal="center" vertical="center"/>
      <protection locked="0"/>
    </xf>
    <xf numFmtId="0" fontId="6" fillId="0" borderId="6" xfId="18" applyFont="1" applyFill="1" applyBorder="1" applyAlignment="1" applyProtection="1">
      <alignment horizontal="center" vertical="center"/>
      <protection locked="0"/>
    </xf>
    <xf numFmtId="0" fontId="6" fillId="0" borderId="43" xfId="18" applyFont="1" applyFill="1" applyBorder="1" applyAlignment="1" applyProtection="1">
      <alignment vertical="center"/>
      <protection locked="0"/>
    </xf>
    <xf numFmtId="10" fontId="6" fillId="0" borderId="10" xfId="3" applyNumberFormat="1" applyFont="1" applyFill="1" applyBorder="1" applyAlignment="1" applyProtection="1">
      <alignment horizontal="center" vertical="center"/>
      <protection locked="0"/>
    </xf>
    <xf numFmtId="0" fontId="1" fillId="0" borderId="38" xfId="18" applyFill="1" applyBorder="1" applyAlignment="1">
      <alignment vertical="center"/>
    </xf>
    <xf numFmtId="191" fontId="1" fillId="0" borderId="38" xfId="18" applyNumberFormat="1" applyFill="1" applyBorder="1" applyAlignment="1">
      <alignment horizontal="center" vertical="center"/>
    </xf>
    <xf numFmtId="44" fontId="1" fillId="0" borderId="38" xfId="18" applyNumberFormat="1" applyFill="1" applyBorder="1" applyAlignment="1">
      <alignment vertical="center"/>
    </xf>
    <xf numFmtId="0" fontId="11" fillId="39" borderId="38" xfId="172" applyFont="1" applyBorder="1" applyAlignment="1">
      <alignment horizontal="center" vertical="center"/>
    </xf>
    <xf numFmtId="44" fontId="1" fillId="0" borderId="38" xfId="2" applyFont="1" applyFill="1" applyBorder="1" applyAlignment="1">
      <alignment horizontal="center" vertical="center"/>
    </xf>
    <xf numFmtId="44" fontId="7" fillId="0" borderId="12" xfId="2" applyFont="1" applyBorder="1" applyAlignment="1">
      <alignment horizontal="center"/>
    </xf>
    <xf numFmtId="0" fontId="7" fillId="0" borderId="17" xfId="6" applyFont="1" applyBorder="1" applyAlignment="1">
      <alignment horizontal="center"/>
    </xf>
    <xf numFmtId="0" fontId="1" fillId="0" borderId="10" xfId="18" applyFill="1" applyBorder="1" applyAlignment="1">
      <alignment vertical="center"/>
    </xf>
    <xf numFmtId="0" fontId="7" fillId="0" borderId="16" xfId="6" applyFont="1" applyBorder="1" applyAlignment="1">
      <alignment horizontal="left"/>
    </xf>
    <xf numFmtId="0" fontId="0" fillId="0" borderId="10" xfId="18" applyFont="1" applyFill="1" applyBorder="1" applyAlignment="1">
      <alignment vertical="center"/>
    </xf>
    <xf numFmtId="44" fontId="0" fillId="0" borderId="0" xfId="2" applyFont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11" fillId="39" borderId="38" xfId="172" applyFont="1" applyBorder="1" applyAlignment="1" applyProtection="1">
      <alignment horizontal="center" vertical="center" wrapText="1"/>
    </xf>
    <xf numFmtId="44" fontId="11" fillId="37" borderId="38" xfId="165" applyNumberFormat="1" applyFont="1" applyBorder="1" applyAlignment="1" applyProtection="1">
      <alignment vertical="center"/>
    </xf>
    <xf numFmtId="191" fontId="1" fillId="0" borderId="11" xfId="18" applyNumberFormat="1" applyFill="1" applyBorder="1" applyAlignment="1" applyProtection="1">
      <alignment horizontal="center" vertical="center"/>
      <protection locked="0"/>
    </xf>
    <xf numFmtId="10" fontId="6" fillId="0" borderId="11" xfId="3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194" fontId="1" fillId="0" borderId="38" xfId="18" applyNumberFormat="1" applyFill="1" applyBorder="1" applyAlignment="1" applyProtection="1">
      <alignment horizontal="center" vertical="center"/>
      <protection locked="0"/>
    </xf>
    <xf numFmtId="194" fontId="0" fillId="0" borderId="38" xfId="18" applyNumberFormat="1" applyFont="1" applyFill="1" applyBorder="1" applyAlignment="1" applyProtection="1">
      <alignment horizontal="center" vertical="center"/>
      <protection locked="0"/>
    </xf>
    <xf numFmtId="194" fontId="7" fillId="0" borderId="12" xfId="6" applyNumberFormat="1" applyFont="1" applyBorder="1" applyAlignment="1">
      <alignment horizontal="center"/>
    </xf>
    <xf numFmtId="194" fontId="11" fillId="39" borderId="38" xfId="172" applyNumberFormat="1" applyFont="1" applyBorder="1" applyAlignment="1">
      <alignment horizontal="center" vertical="center"/>
    </xf>
    <xf numFmtId="195" fontId="0" fillId="0" borderId="0" xfId="0" applyNumberFormat="1" applyAlignment="1" applyProtection="1">
      <alignment vertical="center"/>
      <protection locked="0"/>
    </xf>
    <xf numFmtId="0" fontId="6" fillId="0" borderId="9" xfId="18" applyFont="1" applyFill="1" applyBorder="1" applyAlignment="1" applyProtection="1">
      <alignment horizontal="center" vertical="center"/>
      <protection locked="0"/>
    </xf>
    <xf numFmtId="0" fontId="7" fillId="0" borderId="12" xfId="6" applyFont="1" applyBorder="1" applyAlignment="1" applyProtection="1">
      <alignment horizontal="center"/>
      <protection locked="0"/>
    </xf>
    <xf numFmtId="0" fontId="11" fillId="39" borderId="9" xfId="172" applyFont="1" applyBorder="1" applyAlignment="1" applyProtection="1">
      <alignment horizontal="center" vertical="center"/>
      <protection locked="0"/>
    </xf>
    <xf numFmtId="0" fontId="6" fillId="0" borderId="11" xfId="3" applyNumberFormat="1" applyFont="1" applyFill="1" applyBorder="1" applyAlignment="1" applyProtection="1">
      <alignment horizontal="center" vertical="center"/>
      <protection locked="0"/>
    </xf>
    <xf numFmtId="10" fontId="6" fillId="0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63" xfId="4" applyNumberFormat="1" applyFont="1" applyFill="1" applyBorder="1" applyAlignment="1" applyProtection="1">
      <alignment horizontal="center" vertical="center"/>
      <protection locked="0"/>
    </xf>
    <xf numFmtId="44" fontId="0" fillId="0" borderId="60" xfId="4" applyNumberFormat="1" applyFont="1" applyFill="1" applyBorder="1" applyAlignment="1" applyProtection="1">
      <alignment horizontal="center" vertical="center"/>
      <protection locked="0"/>
    </xf>
    <xf numFmtId="44" fontId="0" fillId="0" borderId="55" xfId="18" applyNumberFormat="1" applyFont="1" applyFill="1" applyBorder="1" applyAlignment="1" applyProtection="1">
      <alignment horizontal="center" vertical="center"/>
      <protection locked="0"/>
    </xf>
    <xf numFmtId="44" fontId="1" fillId="0" borderId="60" xfId="4" applyNumberFormat="1" applyFill="1" applyBorder="1" applyAlignment="1" applyProtection="1">
      <alignment horizontal="right" vertical="center"/>
      <protection locked="0"/>
    </xf>
    <xf numFmtId="44" fontId="1" fillId="0" borderId="49" xfId="4" applyNumberFormat="1" applyFill="1" applyBorder="1" applyAlignment="1" applyProtection="1">
      <alignment horizontal="center" vertical="center"/>
    </xf>
    <xf numFmtId="44" fontId="1" fillId="0" borderId="50" xfId="4" applyNumberFormat="1" applyFill="1" applyBorder="1" applyAlignment="1" applyProtection="1">
      <alignment horizontal="center" vertical="center"/>
    </xf>
    <xf numFmtId="44" fontId="0" fillId="0" borderId="5" xfId="18" applyNumberFormat="1" applyFont="1" applyFill="1" applyBorder="1" applyAlignment="1" applyProtection="1">
      <alignment horizontal="center" vertical="center"/>
    </xf>
    <xf numFmtId="10" fontId="0" fillId="0" borderId="37" xfId="18" applyNumberFormat="1" applyFont="1" applyFill="1" applyBorder="1" applyAlignment="1" applyProtection="1">
      <alignment horizontal="center" vertical="center"/>
    </xf>
    <xf numFmtId="0" fontId="0" fillId="0" borderId="47" xfId="18" applyNumberFormat="1" applyFont="1" applyFill="1" applyBorder="1" applyAlignment="1" applyProtection="1">
      <alignment horizontal="center" vertical="center"/>
    </xf>
    <xf numFmtId="187" fontId="7" fillId="0" borderId="60" xfId="2" applyNumberFormat="1" applyFont="1" applyFill="1" applyBorder="1" applyAlignment="1" applyProtection="1">
      <alignment horizontal="center" vertical="center"/>
      <protection locked="0"/>
    </xf>
    <xf numFmtId="44" fontId="7" fillId="0" borderId="50" xfId="2" applyFont="1" applyFill="1" applyBorder="1" applyAlignment="1" applyProtection="1">
      <alignment horizontal="center" vertical="center"/>
      <protection locked="0"/>
    </xf>
    <xf numFmtId="44" fontId="7" fillId="0" borderId="50" xfId="2" applyFont="1" applyFill="1" applyBorder="1" applyAlignment="1" applyProtection="1">
      <alignment horizontal="left" vertical="center"/>
      <protection locked="0"/>
    </xf>
    <xf numFmtId="189" fontId="1" fillId="0" borderId="60" xfId="1" applyNumberFormat="1" applyFont="1" applyFill="1" applyBorder="1" applyAlignment="1" applyProtection="1">
      <alignment horizontal="center" vertical="center"/>
      <protection locked="0"/>
    </xf>
    <xf numFmtId="182" fontId="1" fillId="0" borderId="50" xfId="2" applyNumberFormat="1" applyFont="1" applyFill="1" applyBorder="1" applyAlignment="1" applyProtection="1">
      <alignment horizontal="center" vertical="center"/>
      <protection locked="0"/>
    </xf>
    <xf numFmtId="44" fontId="1" fillId="0" borderId="50" xfId="2" applyFont="1" applyFill="1" applyBorder="1" applyAlignment="1" applyProtection="1">
      <alignment horizontal="left" vertical="center"/>
      <protection locked="0"/>
    </xf>
    <xf numFmtId="44" fontId="7" fillId="0" borderId="60" xfId="2" applyFont="1" applyFill="1" applyBorder="1" applyAlignment="1" applyProtection="1">
      <alignment horizontal="left" vertical="center"/>
      <protection locked="0"/>
    </xf>
    <xf numFmtId="1" fontId="7" fillId="0" borderId="50" xfId="2" applyNumberFormat="1" applyFont="1" applyFill="1" applyBorder="1" applyAlignment="1" applyProtection="1">
      <alignment horizontal="center" vertical="center"/>
      <protection locked="0"/>
    </xf>
    <xf numFmtId="186" fontId="7" fillId="0" borderId="49" xfId="2" applyNumberFormat="1" applyFont="1" applyFill="1" applyBorder="1" applyAlignment="1" applyProtection="1">
      <alignment horizontal="center" vertical="center"/>
      <protection locked="0"/>
    </xf>
    <xf numFmtId="44" fontId="7" fillId="0" borderId="49" xfId="2" applyFont="1" applyFill="1" applyBorder="1" applyAlignment="1" applyProtection="1">
      <alignment horizontal="center" vertical="center"/>
      <protection locked="0"/>
    </xf>
    <xf numFmtId="44" fontId="7" fillId="0" borderId="47" xfId="2" applyFont="1" applyFill="1" applyBorder="1" applyAlignment="1" applyProtection="1">
      <alignment horizontal="center" vertical="center"/>
      <protection locked="0"/>
    </xf>
    <xf numFmtId="44" fontId="7" fillId="0" borderId="60" xfId="2" applyFont="1" applyFill="1" applyBorder="1" applyAlignment="1" applyProtection="1">
      <alignment horizontal="center" vertical="center"/>
      <protection locked="0"/>
    </xf>
    <xf numFmtId="10" fontId="7" fillId="0" borderId="5" xfId="3" applyNumberFormat="1" applyFont="1" applyBorder="1" applyAlignment="1" applyProtection="1">
      <alignment horizontal="center"/>
      <protection locked="0"/>
    </xf>
    <xf numFmtId="183" fontId="7" fillId="0" borderId="54" xfId="2" applyNumberFormat="1" applyFont="1" applyFill="1" applyBorder="1" applyAlignment="1" applyProtection="1">
      <alignment horizontal="center" vertical="center"/>
      <protection locked="0"/>
    </xf>
    <xf numFmtId="10" fontId="7" fillId="0" borderId="52" xfId="3" applyNumberFormat="1" applyFont="1" applyFill="1" applyBorder="1" applyAlignment="1" applyProtection="1">
      <alignment horizontal="center" vertical="center"/>
      <protection locked="0"/>
    </xf>
    <xf numFmtId="44" fontId="0" fillId="0" borderId="50" xfId="2" applyFont="1" applyFill="1" applyBorder="1" applyAlignment="1" applyProtection="1">
      <alignment horizontal="left" vertical="center"/>
      <protection locked="0"/>
    </xf>
    <xf numFmtId="0" fontId="6" fillId="0" borderId="51" xfId="4" applyFont="1" applyFill="1" applyBorder="1" applyAlignment="1" applyProtection="1">
      <alignment vertical="center"/>
      <protection locked="0"/>
    </xf>
    <xf numFmtId="0" fontId="1" fillId="0" borderId="11" xfId="4" applyFill="1" applyBorder="1" applyAlignment="1" applyProtection="1">
      <alignment horizontal="center" vertical="center"/>
      <protection locked="0"/>
    </xf>
    <xf numFmtId="9" fontId="7" fillId="0" borderId="51" xfId="2" applyNumberFormat="1" applyFont="1" applyFill="1" applyBorder="1" applyAlignment="1" applyProtection="1">
      <alignment horizontal="center" vertical="center"/>
      <protection locked="0"/>
    </xf>
    <xf numFmtId="44" fontId="7" fillId="0" borderId="51" xfId="2" applyFont="1" applyFill="1" applyBorder="1" applyAlignment="1" applyProtection="1">
      <alignment horizontal="center" vertical="center"/>
      <protection locked="0"/>
    </xf>
    <xf numFmtId="0" fontId="7" fillId="0" borderId="5" xfId="6" applyFont="1" applyBorder="1" applyProtection="1">
      <protection locked="0"/>
    </xf>
    <xf numFmtId="44" fontId="7" fillId="0" borderId="54" xfId="2" applyFont="1" applyFill="1" applyBorder="1" applyAlignment="1" applyProtection="1">
      <alignment horizontal="center" vertical="center"/>
      <protection locked="0"/>
    </xf>
    <xf numFmtId="9" fontId="7" fillId="0" borderId="52" xfId="3" applyFont="1" applyFill="1" applyBorder="1" applyAlignment="1" applyProtection="1">
      <alignment horizontal="center" vertical="center"/>
      <protection locked="0"/>
    </xf>
    <xf numFmtId="0" fontId="0" fillId="0" borderId="55" xfId="0" applyBorder="1"/>
    <xf numFmtId="0" fontId="0" fillId="0" borderId="48" xfId="0" applyBorder="1"/>
    <xf numFmtId="0" fontId="2" fillId="37" borderId="38" xfId="165" applyBorder="1"/>
    <xf numFmtId="3" fontId="7" fillId="0" borderId="38" xfId="6" applyNumberFormat="1" applyFont="1" applyBorder="1" applyAlignment="1" applyProtection="1">
      <alignment horizontal="center" vertical="center"/>
      <protection locked="0"/>
    </xf>
    <xf numFmtId="0" fontId="0" fillId="0" borderId="38" xfId="18" applyFont="1" applyFill="1" applyBorder="1" applyAlignment="1">
      <alignment horizontal="center" vertical="center"/>
    </xf>
    <xf numFmtId="0" fontId="7" fillId="0" borderId="25" xfId="6" applyFont="1" applyBorder="1"/>
    <xf numFmtId="44" fontId="11" fillId="37" borderId="11" xfId="165" applyNumberFormat="1" applyFont="1" applyBorder="1" applyAlignment="1">
      <alignment vertical="center"/>
    </xf>
    <xf numFmtId="44" fontId="11" fillId="37" borderId="9" xfId="165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vertical="center"/>
      <protection locked="0"/>
    </xf>
    <xf numFmtId="10" fontId="0" fillId="0" borderId="49" xfId="18" applyNumberFormat="1" applyFont="1" applyFill="1" applyBorder="1" applyAlignment="1" applyProtection="1">
      <alignment horizontal="center" vertical="center"/>
    </xf>
    <xf numFmtId="1" fontId="7" fillId="0" borderId="60" xfId="2" applyNumberFormat="1" applyFont="1" applyFill="1" applyBorder="1" applyAlignment="1" applyProtection="1">
      <alignment horizontal="center" vertical="center"/>
      <protection locked="0"/>
    </xf>
    <xf numFmtId="44" fontId="7" fillId="0" borderId="52" xfId="2" applyFont="1" applyFill="1" applyBorder="1" applyAlignment="1" applyProtection="1">
      <alignment horizontal="center" vertical="center"/>
      <protection locked="0"/>
    </xf>
    <xf numFmtId="44" fontId="8" fillId="0" borderId="71" xfId="2" applyFont="1" applyFill="1" applyBorder="1" applyAlignment="1" applyProtection="1">
      <alignment horizontal="center" vertical="center"/>
    </xf>
    <xf numFmtId="44" fontId="6" fillId="0" borderId="2" xfId="2" applyFont="1" applyFill="1" applyBorder="1" applyAlignment="1">
      <alignment horizontal="right" vertical="center"/>
    </xf>
    <xf numFmtId="44" fontId="8" fillId="0" borderId="48" xfId="2" applyFont="1" applyFill="1" applyBorder="1" applyAlignment="1">
      <alignment horizontal="center" vertical="center"/>
    </xf>
    <xf numFmtId="196" fontId="7" fillId="0" borderId="50" xfId="2" applyNumberFormat="1" applyFont="1" applyFill="1" applyBorder="1" applyAlignment="1" applyProtection="1">
      <alignment horizontal="center" vertical="center"/>
      <protection locked="0"/>
    </xf>
    <xf numFmtId="10" fontId="7" fillId="0" borderId="50" xfId="3" applyNumberFormat="1" applyFont="1" applyFill="1" applyBorder="1" applyAlignment="1" applyProtection="1">
      <alignment horizontal="center" vertical="center"/>
      <protection locked="0"/>
    </xf>
    <xf numFmtId="0" fontId="11" fillId="37" borderId="38" xfId="165" applyFont="1" applyBorder="1" applyAlignment="1"/>
    <xf numFmtId="0" fontId="11" fillId="37" borderId="9" xfId="165" applyFont="1" applyBorder="1" applyAlignment="1"/>
    <xf numFmtId="0" fontId="11" fillId="37" borderId="11" xfId="165" applyFont="1" applyBorder="1" applyAlignment="1"/>
    <xf numFmtId="0" fontId="11" fillId="37" borderId="10" xfId="165" applyFont="1" applyBorder="1" applyAlignment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44" fontId="43" fillId="0" borderId="38" xfId="173" applyNumberFormat="1" applyFill="1" applyBorder="1" applyAlignment="1" applyProtection="1">
      <alignment horizontal="center" vertical="center"/>
      <protection locked="0"/>
    </xf>
    <xf numFmtId="10" fontId="7" fillId="0" borderId="54" xfId="3" applyNumberFormat="1" applyFont="1" applyFill="1" applyBorder="1" applyAlignment="1" applyProtection="1">
      <alignment horizontal="center" vertical="center"/>
      <protection locked="0"/>
    </xf>
    <xf numFmtId="10" fontId="0" fillId="0" borderId="66" xfId="2" applyNumberFormat="1" applyFont="1" applyBorder="1" applyAlignment="1">
      <alignment horizontal="center" vertical="center" wrapText="1"/>
    </xf>
    <xf numFmtId="10" fontId="0" fillId="0" borderId="64" xfId="2" applyNumberFormat="1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center"/>
      <protection locked="0"/>
    </xf>
    <xf numFmtId="0" fontId="7" fillId="0" borderId="16" xfId="6" applyFont="1" applyBorder="1"/>
    <xf numFmtId="0" fontId="11" fillId="37" borderId="9" xfId="165" applyFont="1" applyBorder="1" applyAlignment="1" applyProtection="1">
      <alignment horizontal="center" vertical="center"/>
    </xf>
    <xf numFmtId="0" fontId="2" fillId="37" borderId="10" xfId="165" applyBorder="1" applyAlignment="1" applyProtection="1">
      <alignment horizontal="left" vertical="center"/>
    </xf>
    <xf numFmtId="0" fontId="11" fillId="37" borderId="11" xfId="165" applyFont="1" applyBorder="1" applyAlignment="1" applyProtection="1">
      <alignment horizontal="left" vertical="center"/>
    </xf>
    <xf numFmtId="2" fontId="11" fillId="0" borderId="17" xfId="13" applyNumberFormat="1" applyFont="1" applyFill="1" applyBorder="1" applyAlignment="1" applyProtection="1">
      <alignment horizontal="left" vertical="center" wrapText="1"/>
    </xf>
    <xf numFmtId="0" fontId="11" fillId="0" borderId="12" xfId="13" applyFont="1" applyFill="1" applyBorder="1" applyAlignment="1" applyProtection="1">
      <alignment horizontal="left" vertical="center" wrapText="1"/>
    </xf>
    <xf numFmtId="0" fontId="1" fillId="0" borderId="0" xfId="0" applyFont="1"/>
    <xf numFmtId="0" fontId="7" fillId="0" borderId="12" xfId="6" applyFont="1" applyBorder="1" applyAlignment="1">
      <alignment horizontal="center" vertical="center"/>
    </xf>
    <xf numFmtId="0" fontId="8" fillId="0" borderId="38" xfId="13" applyFont="1" applyFill="1" applyBorder="1" applyAlignment="1" applyProtection="1">
      <alignment horizontal="center" vertical="center"/>
    </xf>
    <xf numFmtId="0" fontId="7" fillId="0" borderId="38" xfId="18" applyFont="1" applyFill="1" applyBorder="1" applyAlignment="1" applyProtection="1">
      <alignment horizontal="left" vertical="center"/>
    </xf>
    <xf numFmtId="2" fontId="7" fillId="0" borderId="38" xfId="18" applyNumberFormat="1" applyFont="1" applyFill="1" applyBorder="1" applyAlignment="1" applyProtection="1">
      <alignment horizontal="center" vertical="center"/>
    </xf>
    <xf numFmtId="2" fontId="1" fillId="0" borderId="17" xfId="18" applyNumberFormat="1" applyFill="1" applyBorder="1" applyAlignment="1" applyProtection="1">
      <alignment horizontal="center" vertical="center"/>
    </xf>
    <xf numFmtId="178" fontId="1" fillId="0" borderId="12" xfId="18" applyNumberFormat="1" applyFill="1" applyBorder="1" applyAlignment="1" applyProtection="1">
      <alignment horizontal="center" vertical="center"/>
    </xf>
    <xf numFmtId="2" fontId="1" fillId="0" borderId="12" xfId="18" applyNumberFormat="1" applyFill="1" applyBorder="1" applyAlignment="1" applyProtection="1">
      <alignment horizontal="center" vertical="center"/>
    </xf>
    <xf numFmtId="2" fontId="0" fillId="0" borderId="12" xfId="18" applyNumberFormat="1" applyFont="1" applyFill="1" applyBorder="1" applyAlignment="1" applyProtection="1">
      <alignment horizontal="center" vertical="center"/>
    </xf>
    <xf numFmtId="193" fontId="7" fillId="0" borderId="38" xfId="18" applyNumberFormat="1" applyFont="1" applyFill="1" applyBorder="1" applyAlignment="1" applyProtection="1">
      <alignment horizontal="center" vertical="center"/>
    </xf>
    <xf numFmtId="192" fontId="1" fillId="0" borderId="12" xfId="18" applyNumberFormat="1" applyFill="1" applyBorder="1" applyAlignment="1" applyProtection="1">
      <alignment horizontal="center" vertical="center"/>
    </xf>
    <xf numFmtId="193" fontId="1" fillId="0" borderId="12" xfId="18" applyNumberFormat="1" applyFill="1" applyBorder="1" applyAlignment="1" applyProtection="1">
      <alignment horizontal="center" vertical="center"/>
    </xf>
    <xf numFmtId="180" fontId="1" fillId="0" borderId="12" xfId="18" applyNumberFormat="1" applyFill="1" applyBorder="1" applyAlignment="1" applyProtection="1">
      <alignment horizontal="center" vertical="center"/>
    </xf>
    <xf numFmtId="178" fontId="7" fillId="0" borderId="12" xfId="6" applyNumberFormat="1" applyFont="1" applyBorder="1" applyAlignment="1">
      <alignment horizontal="center" vertical="center"/>
    </xf>
    <xf numFmtId="179" fontId="1" fillId="0" borderId="12" xfId="18" applyNumberFormat="1" applyFill="1" applyBorder="1" applyAlignment="1" applyProtection="1">
      <alignment horizontal="center" vertical="center"/>
    </xf>
    <xf numFmtId="0" fontId="1" fillId="0" borderId="12" xfId="18" applyFill="1" applyBorder="1" applyAlignment="1" applyProtection="1">
      <alignment horizontal="center" vertical="center"/>
    </xf>
    <xf numFmtId="0" fontId="11" fillId="0" borderId="13" xfId="13" applyFont="1" applyFill="1" applyBorder="1" applyAlignment="1" applyProtection="1">
      <alignment horizontal="center" vertical="center"/>
    </xf>
    <xf numFmtId="0" fontId="1" fillId="0" borderId="13" xfId="18" applyFill="1" applyBorder="1" applyAlignment="1" applyProtection="1">
      <alignment horizontal="left" vertical="center"/>
    </xf>
    <xf numFmtId="44" fontId="1" fillId="0" borderId="13" xfId="2" applyFont="1" applyFill="1" applyBorder="1" applyAlignment="1" applyProtection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2" fillId="0" borderId="16" xfId="6" applyFont="1" applyBorder="1" applyAlignment="1">
      <alignment horizontal="center" vertical="center"/>
    </xf>
    <xf numFmtId="0" fontId="11" fillId="37" borderId="38" xfId="165" applyFont="1" applyBorder="1" applyAlignment="1" applyProtection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7" fillId="0" borderId="17" xfId="6" applyFont="1" applyBorder="1"/>
    <xf numFmtId="0" fontId="1" fillId="3" borderId="9" xfId="5" applyBorder="1" applyAlignment="1" applyProtection="1">
      <alignment horizontal="center"/>
    </xf>
    <xf numFmtId="0" fontId="1" fillId="3" borderId="11" xfId="5" applyBorder="1" applyAlignment="1" applyProtection="1">
      <alignment horizontal="left"/>
    </xf>
    <xf numFmtId="0" fontId="1" fillId="3" borderId="38" xfId="5" applyBorder="1" applyAlignment="1" applyProtection="1">
      <alignment horizontal="center"/>
    </xf>
    <xf numFmtId="0" fontId="1" fillId="3" borderId="38" xfId="5" applyBorder="1" applyAlignment="1" applyProtection="1">
      <alignment horizontal="center" vertical="center"/>
    </xf>
    <xf numFmtId="4" fontId="1" fillId="3" borderId="38" xfId="5" applyNumberFormat="1" applyBorder="1" applyAlignment="1" applyProtection="1">
      <alignment horizontal="center" vertical="center"/>
    </xf>
    <xf numFmtId="44" fontId="1" fillId="3" borderId="38" xfId="5" applyNumberFormat="1" applyBorder="1" applyAlignment="1" applyProtection="1">
      <alignment horizontal="center" vertical="center" wrapText="1"/>
    </xf>
    <xf numFmtId="0" fontId="1" fillId="3" borderId="38" xfId="5" applyBorder="1" applyAlignment="1" applyProtection="1">
      <alignment horizontal="center" vertical="center" wrapText="1"/>
    </xf>
    <xf numFmtId="9" fontId="1" fillId="3" borderId="38" xfId="5" applyNumberFormat="1" applyBorder="1" applyAlignment="1" applyProtection="1">
      <alignment horizontal="center" vertical="center" wrapText="1"/>
    </xf>
    <xf numFmtId="10" fontId="1" fillId="3" borderId="38" xfId="5" applyNumberForma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1" fillId="37" borderId="10" xfId="165" applyFont="1" applyBorder="1" applyAlignment="1" applyProtection="1">
      <alignment horizontal="left" vertical="center"/>
    </xf>
    <xf numFmtId="0" fontId="11" fillId="37" borderId="10" xfId="165" applyFont="1" applyBorder="1" applyAlignment="1" applyProtection="1">
      <alignment horizontal="center" vertical="center"/>
    </xf>
    <xf numFmtId="0" fontId="11" fillId="37" borderId="11" xfId="165" applyFont="1" applyBorder="1" applyAlignment="1" applyProtection="1">
      <alignment horizontal="center" vertical="center"/>
    </xf>
    <xf numFmtId="0" fontId="8" fillId="5" borderId="38" xfId="13" applyFont="1" applyFill="1" applyBorder="1" applyAlignment="1" applyProtection="1">
      <alignment horizontal="center" vertical="center"/>
    </xf>
    <xf numFmtId="0" fontId="7" fillId="5" borderId="38" xfId="18" applyFont="1" applyFill="1" applyBorder="1" applyAlignment="1" applyProtection="1">
      <alignment horizontal="left" vertical="center"/>
    </xf>
    <xf numFmtId="0" fontId="7" fillId="5" borderId="38" xfId="18" applyFont="1" applyFill="1" applyBorder="1" applyAlignment="1" applyProtection="1">
      <alignment vertical="center" wrapText="1"/>
    </xf>
    <xf numFmtId="0" fontId="7" fillId="5" borderId="38" xfId="18" applyFont="1" applyFill="1" applyBorder="1" applyAlignment="1" applyProtection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7" fillId="5" borderId="38" xfId="4" applyFont="1" applyFill="1" applyBorder="1" applyAlignment="1" applyProtection="1">
      <alignment vertical="center"/>
    </xf>
    <xf numFmtId="0" fontId="7" fillId="5" borderId="38" xfId="4" applyFont="1" applyFill="1" applyBorder="1" applyAlignment="1" applyProtection="1">
      <alignment vertical="center" wrapText="1"/>
    </xf>
    <xf numFmtId="0" fontId="7" fillId="5" borderId="38" xfId="4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37" borderId="9" xfId="165" applyFont="1" applyBorder="1" applyAlignment="1" applyProtection="1">
      <alignment horizontal="left" vertical="center"/>
    </xf>
    <xf numFmtId="0" fontId="7" fillId="0" borderId="12" xfId="6" applyFont="1" applyBorder="1" applyAlignment="1">
      <alignment horizontal="center"/>
    </xf>
    <xf numFmtId="0" fontId="7" fillId="0" borderId="12" xfId="6" applyFont="1" applyBorder="1" applyAlignment="1">
      <alignment horizontal="right"/>
    </xf>
    <xf numFmtId="0" fontId="8" fillId="0" borderId="12" xfId="6" applyFont="1" applyBorder="1" applyAlignment="1">
      <alignment horizontal="center" vertical="center"/>
    </xf>
    <xf numFmtId="4" fontId="8" fillId="0" borderId="12" xfId="6" applyNumberFormat="1" applyFont="1" applyBorder="1" applyAlignment="1">
      <alignment horizontal="center" vertical="center"/>
    </xf>
    <xf numFmtId="9" fontId="8" fillId="0" borderId="12" xfId="2" applyNumberFormat="1" applyFont="1" applyFill="1" applyBorder="1" applyAlignment="1" applyProtection="1">
      <alignment horizontal="center" vertical="center" wrapText="1"/>
    </xf>
    <xf numFmtId="10" fontId="8" fillId="0" borderId="12" xfId="2" applyNumberFormat="1" applyFont="1" applyFill="1" applyBorder="1" applyAlignment="1" applyProtection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16" xfId="6" applyFont="1" applyBorder="1"/>
    <xf numFmtId="0" fontId="11" fillId="39" borderId="9" xfId="172" applyFont="1" applyBorder="1" applyAlignment="1" applyProtection="1">
      <alignment horizontal="center" vertical="center"/>
    </xf>
    <xf numFmtId="0" fontId="11" fillId="39" borderId="10" xfId="172" applyFont="1" applyBorder="1" applyAlignment="1" applyProtection="1">
      <alignment horizontal="left" vertical="center"/>
    </xf>
    <xf numFmtId="0" fontId="11" fillId="39" borderId="11" xfId="172" applyFont="1" applyBorder="1" applyAlignment="1" applyProtection="1">
      <alignment horizontal="left" vertical="center"/>
    </xf>
    <xf numFmtId="0" fontId="11" fillId="39" borderId="10" xfId="172" applyFont="1" applyBorder="1" applyAlignment="1" applyProtection="1">
      <alignment horizontal="center" vertical="center"/>
    </xf>
    <xf numFmtId="0" fontId="11" fillId="39" borderId="11" xfId="172" applyFont="1" applyBorder="1" applyAlignment="1" applyProtection="1">
      <alignment horizontal="center" vertical="center"/>
    </xf>
    <xf numFmtId="0" fontId="8" fillId="0" borderId="17" xfId="6" applyFont="1" applyBorder="1"/>
    <xf numFmtId="0" fontId="8" fillId="0" borderId="12" xfId="6" applyFont="1" applyBorder="1"/>
    <xf numFmtId="0" fontId="8" fillId="0" borderId="38" xfId="6" applyFont="1" applyBorder="1" applyAlignment="1">
      <alignment horizontal="center"/>
    </xf>
    <xf numFmtId="0" fontId="7" fillId="0" borderId="38" xfId="6" applyFont="1" applyBorder="1" applyAlignment="1">
      <alignment horizontal="left"/>
    </xf>
    <xf numFmtId="10" fontId="7" fillId="0" borderId="38" xfId="3" applyNumberFormat="1" applyFont="1" applyFill="1" applyBorder="1" applyAlignment="1" applyProtection="1">
      <alignment horizontal="center" vertical="center"/>
    </xf>
    <xf numFmtId="0" fontId="11" fillId="0" borderId="14" xfId="6" applyFont="1" applyBorder="1" applyAlignment="1">
      <alignment horizontal="center"/>
    </xf>
    <xf numFmtId="0" fontId="7" fillId="0" borderId="14" xfId="6" applyFont="1" applyBorder="1" applyAlignment="1">
      <alignment horizontal="right"/>
    </xf>
    <xf numFmtId="10" fontId="7" fillId="0" borderId="14" xfId="3" applyNumberFormat="1" applyFont="1" applyFill="1" applyBorder="1" applyAlignment="1" applyProtection="1">
      <alignment horizontal="center" vertical="center"/>
    </xf>
    <xf numFmtId="10" fontId="7" fillId="0" borderId="38" xfId="6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8" xfId="4" applyFont="1" applyFill="1" applyBorder="1" applyAlignment="1" applyProtection="1">
      <alignment horizontal="left" vertical="center"/>
    </xf>
    <xf numFmtId="0" fontId="42" fillId="0" borderId="38" xfId="4" applyFont="1" applyFill="1" applyBorder="1" applyAlignment="1" applyProtection="1">
      <alignment horizontal="left" vertical="center"/>
    </xf>
    <xf numFmtId="10" fontId="7" fillId="0" borderId="38" xfId="6" applyNumberFormat="1" applyFont="1" applyBorder="1" applyAlignment="1">
      <alignment horizontal="center"/>
    </xf>
    <xf numFmtId="0" fontId="7" fillId="0" borderId="38" xfId="3" applyNumberFormat="1" applyFont="1" applyFill="1" applyBorder="1" applyAlignment="1" applyProtection="1">
      <alignment horizontal="center"/>
    </xf>
    <xf numFmtId="2" fontId="7" fillId="0" borderId="38" xfId="3" applyNumberFormat="1" applyFont="1" applyFill="1" applyBorder="1" applyAlignment="1" applyProtection="1">
      <alignment horizontal="center" vertical="center"/>
    </xf>
    <xf numFmtId="0" fontId="2" fillId="39" borderId="10" xfId="172" applyBorder="1" applyAlignment="1" applyProtection="1">
      <alignment horizontal="left" vertical="center"/>
    </xf>
    <xf numFmtId="9" fontId="11" fillId="39" borderId="38" xfId="3" applyFont="1" applyFill="1" applyBorder="1" applyAlignment="1" applyProtection="1">
      <alignment horizontal="center" vertical="center"/>
    </xf>
    <xf numFmtId="10" fontId="11" fillId="0" borderId="12" xfId="6" applyNumberFormat="1" applyFont="1" applyBorder="1" applyAlignment="1">
      <alignment horizontal="center" vertical="center"/>
    </xf>
    <xf numFmtId="10" fontId="11" fillId="0" borderId="12" xfId="6" quotePrefix="1" applyNumberFormat="1" applyFont="1" applyBorder="1" applyAlignment="1">
      <alignment horizontal="center" vertical="center"/>
    </xf>
    <xf numFmtId="0" fontId="39" fillId="5" borderId="12" xfId="93" applyFont="1" applyFill="1" applyBorder="1" applyAlignment="1">
      <alignment horizontal="center" vertical="center"/>
    </xf>
    <xf numFmtId="10" fontId="7" fillId="0" borderId="12" xfId="6" applyNumberFormat="1" applyFont="1" applyBorder="1" applyAlignment="1">
      <alignment horizontal="center" vertical="center"/>
    </xf>
    <xf numFmtId="0" fontId="7" fillId="0" borderId="38" xfId="18" applyFont="1" applyFill="1" applyBorder="1" applyAlignment="1" applyProtection="1">
      <alignment vertical="center"/>
    </xf>
    <xf numFmtId="9" fontId="7" fillId="0" borderId="38" xfId="3" applyFont="1" applyFill="1" applyBorder="1" applyAlignment="1" applyProtection="1">
      <alignment horizontal="right" vertical="center"/>
    </xf>
    <xf numFmtId="9" fontId="7" fillId="0" borderId="38" xfId="3" applyFont="1" applyFill="1" applyBorder="1" applyAlignment="1" applyProtection="1">
      <alignment horizontal="center" vertical="center"/>
    </xf>
    <xf numFmtId="178" fontId="7" fillId="0" borderId="38" xfId="18" applyNumberFormat="1" applyFont="1" applyFill="1" applyBorder="1" applyAlignment="1" applyProtection="1">
      <alignment horizontal="right" vertical="center"/>
    </xf>
    <xf numFmtId="178" fontId="7" fillId="0" borderId="38" xfId="18" applyNumberFormat="1" applyFont="1" applyFill="1" applyBorder="1" applyAlignment="1" applyProtection="1">
      <alignment horizontal="center" vertical="center"/>
    </xf>
    <xf numFmtId="0" fontId="7" fillId="0" borderId="14" xfId="6" applyFont="1" applyBorder="1" applyAlignment="1">
      <alignment horizontal="center"/>
    </xf>
    <xf numFmtId="0" fontId="7" fillId="0" borderId="14" xfId="6" applyFont="1" applyBorder="1" applyAlignment="1">
      <alignment horizontal="left"/>
    </xf>
    <xf numFmtId="10" fontId="7" fillId="0" borderId="14" xfId="6" applyNumberFormat="1" applyFont="1" applyBorder="1" applyAlignment="1">
      <alignment horizontal="center" vertical="center"/>
    </xf>
    <xf numFmtId="166" fontId="7" fillId="0" borderId="38" xfId="6" applyNumberFormat="1" applyFont="1" applyBorder="1" applyAlignment="1">
      <alignment horizontal="center" vertical="center"/>
    </xf>
    <xf numFmtId="0" fontId="8" fillId="0" borderId="12" xfId="6" applyFont="1" applyBorder="1" applyAlignment="1">
      <alignment horizontal="center"/>
    </xf>
    <xf numFmtId="0" fontId="8" fillId="0" borderId="12" xfId="6" applyFont="1" applyBorder="1" applyAlignment="1">
      <alignment horizontal="left"/>
    </xf>
    <xf numFmtId="10" fontId="8" fillId="0" borderId="12" xfId="6" applyNumberFormat="1" applyFont="1" applyBorder="1" applyAlignment="1">
      <alignment horizontal="center" vertical="center"/>
    </xf>
    <xf numFmtId="0" fontId="7" fillId="0" borderId="38" xfId="13" applyFont="1" applyFill="1" applyBorder="1" applyAlignment="1" applyProtection="1">
      <alignment horizontal="center" vertical="center"/>
    </xf>
    <xf numFmtId="10" fontId="7" fillId="0" borderId="38" xfId="3" applyNumberFormat="1" applyFont="1" applyFill="1" applyBorder="1" applyAlignment="1" applyProtection="1">
      <alignment horizontal="right" vertical="center"/>
    </xf>
    <xf numFmtId="180" fontId="7" fillId="0" borderId="38" xfId="18" applyNumberFormat="1" applyFont="1" applyFill="1" applyBorder="1" applyAlignment="1" applyProtection="1">
      <alignment horizontal="right" vertical="center"/>
    </xf>
    <xf numFmtId="180" fontId="7" fillId="0" borderId="38" xfId="18" applyNumberFormat="1" applyFont="1" applyFill="1" applyBorder="1" applyAlignment="1" applyProtection="1">
      <alignment horizontal="center" vertical="center"/>
    </xf>
    <xf numFmtId="179" fontId="7" fillId="0" borderId="38" xfId="18" applyNumberFormat="1" applyFont="1" applyFill="1" applyBorder="1" applyAlignment="1" applyProtection="1">
      <alignment horizontal="right" vertical="center"/>
    </xf>
    <xf numFmtId="179" fontId="7" fillId="0" borderId="38" xfId="18" applyNumberFormat="1" applyFont="1" applyFill="1" applyBorder="1" applyAlignment="1" applyProtection="1">
      <alignment horizontal="center" vertical="center"/>
    </xf>
    <xf numFmtId="181" fontId="7" fillId="0" borderId="38" xfId="1" applyNumberFormat="1" applyFont="1" applyFill="1" applyBorder="1" applyAlignment="1" applyProtection="1">
      <alignment horizontal="right" vertical="center"/>
    </xf>
    <xf numFmtId="181" fontId="7" fillId="0" borderId="38" xfId="1" applyNumberFormat="1" applyFont="1" applyFill="1" applyBorder="1" applyAlignment="1" applyProtection="1">
      <alignment horizontal="center" vertical="center"/>
    </xf>
    <xf numFmtId="0" fontId="11" fillId="0" borderId="14" xfId="13" applyFont="1" applyFill="1" applyBorder="1" applyAlignment="1" applyProtection="1">
      <alignment horizontal="center" vertical="center"/>
    </xf>
    <xf numFmtId="0" fontId="1" fillId="0" borderId="14" xfId="18" applyFill="1" applyBorder="1" applyAlignment="1" applyProtection="1">
      <alignment horizontal="left" vertical="center"/>
    </xf>
    <xf numFmtId="10" fontId="1" fillId="0" borderId="14" xfId="3" applyNumberFormat="1" applyFont="1" applyFill="1" applyBorder="1" applyAlignment="1" applyProtection="1">
      <alignment horizontal="right" vertical="center"/>
    </xf>
    <xf numFmtId="10" fontId="7" fillId="0" borderId="38" xfId="18" applyNumberFormat="1" applyFont="1" applyFill="1" applyBorder="1" applyAlignment="1" applyProtection="1">
      <alignment horizontal="center" vertical="center"/>
    </xf>
    <xf numFmtId="0" fontId="7" fillId="0" borderId="38" xfId="18" applyFont="1" applyFill="1" applyBorder="1" applyAlignment="1" applyProtection="1">
      <alignment horizontal="center" vertical="center"/>
    </xf>
    <xf numFmtId="43" fontId="7" fillId="0" borderId="38" xfId="1" applyFont="1" applyFill="1" applyBorder="1" applyAlignment="1" applyProtection="1">
      <alignment horizontal="center" vertical="center"/>
    </xf>
    <xf numFmtId="0" fontId="8" fillId="5" borderId="0" xfId="13" applyFont="1" applyFill="1" applyBorder="1" applyAlignment="1" applyProtection="1">
      <alignment horizontal="center" vertical="center"/>
    </xf>
    <xf numFmtId="0" fontId="7" fillId="5" borderId="0" xfId="18" applyFont="1" applyFill="1" applyBorder="1" applyAlignment="1" applyProtection="1">
      <alignment horizontal="left" vertical="center"/>
    </xf>
    <xf numFmtId="0" fontId="7" fillId="5" borderId="0" xfId="18" applyFont="1" applyFill="1" applyBorder="1" applyAlignment="1" applyProtection="1">
      <alignment vertical="center" wrapText="1"/>
    </xf>
    <xf numFmtId="0" fontId="7" fillId="5" borderId="0" xfId="18" applyFont="1" applyFill="1" applyBorder="1" applyAlignment="1" applyProtection="1">
      <alignment horizontal="left" vertical="center" wrapText="1"/>
    </xf>
    <xf numFmtId="0" fontId="11" fillId="39" borderId="9" xfId="172" applyFont="1" applyBorder="1" applyAlignment="1" applyProtection="1">
      <alignment horizontal="left" vertical="center"/>
    </xf>
    <xf numFmtId="0" fontId="6" fillId="0" borderId="6" xfId="18" applyFont="1" applyFill="1" applyBorder="1" applyAlignment="1" applyProtection="1">
      <alignment horizontal="center" vertical="center"/>
    </xf>
    <xf numFmtId="0" fontId="8" fillId="0" borderId="43" xfId="173" applyFont="1" applyFill="1" applyBorder="1" applyAlignment="1" applyProtection="1">
      <alignment vertical="center"/>
    </xf>
    <xf numFmtId="0" fontId="8" fillId="0" borderId="38" xfId="173" applyFont="1" applyFill="1" applyBorder="1" applyAlignment="1" applyProtection="1">
      <alignment vertical="center"/>
    </xf>
    <xf numFmtId="0" fontId="8" fillId="0" borderId="67" xfId="164" applyFont="1" applyFill="1" applyBorder="1" applyAlignment="1" applyProtection="1">
      <alignment horizontal="center" vertical="center"/>
    </xf>
    <xf numFmtId="0" fontId="8" fillId="0" borderId="56" xfId="18" applyFont="1" applyFill="1" applyBorder="1" applyAlignment="1" applyProtection="1">
      <alignment horizontal="left" vertical="center"/>
    </xf>
    <xf numFmtId="0" fontId="8" fillId="0" borderId="38" xfId="18" applyFont="1" applyFill="1" applyBorder="1" applyAlignment="1" applyProtection="1">
      <alignment horizontal="left" vertical="center"/>
    </xf>
    <xf numFmtId="0" fontId="6" fillId="0" borderId="3" xfId="164" applyFont="1" applyFill="1" applyBorder="1" applyAlignment="1" applyProtection="1">
      <alignment horizontal="center" vertical="center"/>
    </xf>
    <xf numFmtId="0" fontId="6" fillId="0" borderId="4" xfId="18" applyFont="1" applyFill="1" applyBorder="1" applyAlignment="1" applyProtection="1">
      <alignment horizontal="left" vertical="center"/>
    </xf>
    <xf numFmtId="0" fontId="6" fillId="0" borderId="38" xfId="18" applyFont="1" applyFill="1" applyBorder="1" applyAlignment="1" applyProtection="1">
      <alignment horizontal="left" vertical="center"/>
    </xf>
    <xf numFmtId="0" fontId="6" fillId="0" borderId="9" xfId="164" applyFont="1" applyFill="1" applyBorder="1" applyAlignment="1" applyProtection="1">
      <alignment horizontal="center" vertical="center"/>
    </xf>
    <xf numFmtId="0" fontId="6" fillId="0" borderId="10" xfId="18" applyFont="1" applyFill="1" applyBorder="1" applyAlignment="1" applyProtection="1">
      <alignment horizontal="left" vertical="center"/>
    </xf>
    <xf numFmtId="0" fontId="8" fillId="0" borderId="7" xfId="164" applyFont="1" applyFill="1" applyBorder="1" applyAlignment="1" applyProtection="1">
      <alignment horizontal="center" vertical="center"/>
    </xf>
    <xf numFmtId="0" fontId="6" fillId="0" borderId="23" xfId="18" applyFont="1" applyFill="1" applyBorder="1" applyAlignment="1" applyProtection="1">
      <alignment horizontal="left" vertical="center"/>
    </xf>
    <xf numFmtId="0" fontId="8" fillId="0" borderId="9" xfId="164" applyFont="1" applyFill="1" applyBorder="1" applyAlignment="1" applyProtection="1">
      <alignment horizontal="center" vertical="center"/>
    </xf>
    <xf numFmtId="0" fontId="8" fillId="0" borderId="11" xfId="18" applyFont="1" applyFill="1" applyBorder="1" applyAlignment="1" applyProtection="1">
      <alignment horizontal="left" vertical="center"/>
    </xf>
    <xf numFmtId="0" fontId="8" fillId="0" borderId="65" xfId="13" applyFont="1" applyFill="1" applyBorder="1" applyAlignment="1" applyProtection="1">
      <alignment horizontal="center" vertical="center"/>
    </xf>
    <xf numFmtId="0" fontId="8" fillId="0" borderId="51" xfId="18" applyFont="1" applyFill="1" applyBorder="1" applyAlignment="1" applyProtection="1">
      <alignment horizontal="left" vertical="center"/>
    </xf>
    <xf numFmtId="0" fontId="8" fillId="0" borderId="67" xfId="13" applyFont="1" applyFill="1" applyBorder="1" applyAlignment="1" applyProtection="1">
      <alignment horizontal="center" vertical="center"/>
    </xf>
    <xf numFmtId="0" fontId="8" fillId="0" borderId="53" xfId="18" applyFont="1" applyFill="1" applyBorder="1" applyAlignment="1" applyProtection="1">
      <alignment horizontal="left" vertical="center"/>
    </xf>
    <xf numFmtId="0" fontId="8" fillId="0" borderId="9" xfId="13" applyFont="1" applyFill="1" applyBorder="1" applyAlignment="1" applyProtection="1">
      <alignment horizontal="center" vertical="center"/>
    </xf>
    <xf numFmtId="0" fontId="8" fillId="0" borderId="40" xfId="13" applyFont="1" applyFill="1" applyBorder="1" applyAlignment="1" applyProtection="1">
      <alignment horizontal="center" vertical="center"/>
    </xf>
    <xf numFmtId="0" fontId="7" fillId="0" borderId="0" xfId="18" applyFont="1" applyFill="1" applyBorder="1" applyAlignment="1" applyProtection="1">
      <alignment horizontal="center" vertical="center"/>
    </xf>
    <xf numFmtId="43" fontId="7" fillId="0" borderId="0" xfId="1" applyFont="1" applyFill="1" applyBorder="1" applyAlignment="1" applyProtection="1">
      <alignment horizontal="center" vertical="center"/>
    </xf>
    <xf numFmtId="0" fontId="11" fillId="39" borderId="11" xfId="172" applyNumberFormat="1" applyFont="1" applyBorder="1" applyAlignment="1" applyProtection="1">
      <alignment horizontal="center" vertical="center"/>
    </xf>
    <xf numFmtId="0" fontId="6" fillId="0" borderId="38" xfId="18" applyFont="1" applyFill="1" applyBorder="1" applyAlignment="1" applyProtection="1">
      <alignment horizontal="center" vertical="center"/>
    </xf>
    <xf numFmtId="0" fontId="1" fillId="0" borderId="10" xfId="18" applyFill="1" applyBorder="1" applyAlignment="1" applyProtection="1">
      <alignment vertical="center"/>
    </xf>
    <xf numFmtId="3" fontId="7" fillId="0" borderId="38" xfId="3" applyNumberFormat="1" applyFont="1" applyFill="1" applyBorder="1" applyAlignment="1" applyProtection="1">
      <alignment horizontal="center" vertical="center"/>
    </xf>
    <xf numFmtId="0" fontId="0" fillId="0" borderId="10" xfId="18" applyFont="1" applyFill="1" applyBorder="1" applyAlignment="1" applyProtection="1">
      <alignment vertical="center"/>
    </xf>
    <xf numFmtId="3" fontId="7" fillId="0" borderId="12" xfId="6" applyNumberFormat="1" applyFont="1" applyBorder="1" applyAlignment="1">
      <alignment horizontal="center" vertical="center"/>
    </xf>
    <xf numFmtId="3" fontId="11" fillId="39" borderId="11" xfId="172" applyNumberFormat="1" applyFont="1" applyBorder="1" applyAlignment="1" applyProtection="1">
      <alignment horizontal="center" vertical="center"/>
    </xf>
    <xf numFmtId="44" fontId="7" fillId="0" borderId="38" xfId="2" applyFont="1" applyFill="1" applyBorder="1" applyAlignment="1" applyProtection="1">
      <alignment horizontal="center"/>
    </xf>
    <xf numFmtId="0" fontId="42" fillId="0" borderId="45" xfId="18" applyFont="1" applyFill="1" applyBorder="1" applyAlignment="1" applyProtection="1">
      <alignment horizontal="left" vertical="center" indent="2"/>
      <protection locked="0"/>
    </xf>
    <xf numFmtId="0" fontId="42" fillId="0" borderId="46" xfId="18" applyFont="1" applyFill="1" applyBorder="1" applyAlignment="1" applyProtection="1">
      <alignment horizontal="left" vertical="center" indent="2"/>
      <protection locked="0"/>
    </xf>
    <xf numFmtId="182" fontId="1" fillId="0" borderId="37" xfId="2" applyNumberFormat="1" applyFont="1" applyFill="1" applyBorder="1" applyAlignment="1">
      <alignment horizontal="center" vertical="center"/>
    </xf>
    <xf numFmtId="166" fontId="7" fillId="0" borderId="38" xfId="3" applyNumberFormat="1" applyFont="1" applyFill="1" applyBorder="1" applyAlignment="1" applyProtection="1">
      <alignment horizontal="center"/>
    </xf>
    <xf numFmtId="167" fontId="7" fillId="0" borderId="38" xfId="2" applyNumberFormat="1" applyFont="1" applyFill="1" applyBorder="1" applyAlignment="1" applyProtection="1">
      <alignment horizontal="center"/>
      <protection locked="0"/>
    </xf>
    <xf numFmtId="44" fontId="7" fillId="40" borderId="38" xfId="21" applyNumberFormat="1" applyFont="1" applyFill="1" applyBorder="1" applyAlignment="1" applyProtection="1">
      <alignment horizontal="center" vertical="center"/>
      <protection locked="0"/>
    </xf>
    <xf numFmtId="0" fontId="7" fillId="40" borderId="38" xfId="21" applyNumberFormat="1" applyFont="1" applyFill="1" applyBorder="1" applyAlignment="1" applyProtection="1">
      <alignment horizontal="center" vertical="center"/>
      <protection locked="0"/>
    </xf>
    <xf numFmtId="43" fontId="7" fillId="0" borderId="0" xfId="1" applyFont="1" applyBorder="1" applyProtection="1"/>
    <xf numFmtId="0" fontId="0" fillId="0" borderId="0" xfId="2" applyNumberFormat="1" applyFont="1" applyBorder="1" applyAlignment="1" applyProtection="1">
      <alignment horizontal="center" vertical="center" wrapText="1"/>
    </xf>
    <xf numFmtId="4" fontId="0" fillId="0" borderId="0" xfId="2" applyNumberFormat="1" applyFont="1" applyBorder="1" applyAlignment="1" applyProtection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 wrapText="1"/>
    </xf>
    <xf numFmtId="44" fontId="0" fillId="0" borderId="0" xfId="2" applyFont="1" applyBorder="1" applyAlignment="1" applyProtection="1">
      <alignment horizontal="center" vertical="center" wrapText="1"/>
    </xf>
    <xf numFmtId="44" fontId="0" fillId="0" borderId="1" xfId="2" applyFont="1" applyBorder="1" applyAlignment="1" applyProtection="1">
      <alignment vertical="center" wrapText="1"/>
    </xf>
    <xf numFmtId="44" fontId="6" fillId="0" borderId="10" xfId="2" applyFont="1" applyBorder="1" applyAlignment="1" applyProtection="1">
      <alignment horizontal="center" vertical="center" wrapText="1"/>
    </xf>
    <xf numFmtId="44" fontId="6" fillId="0" borderId="11" xfId="2" applyFont="1" applyBorder="1" applyAlignment="1" applyProtection="1">
      <alignment horizontal="center" vertical="center" wrapText="1"/>
    </xf>
    <xf numFmtId="44" fontId="45" fillId="0" borderId="10" xfId="2" applyFont="1" applyBorder="1" applyAlignment="1" applyProtection="1">
      <alignment horizontal="center" vertical="center" wrapText="1"/>
    </xf>
    <xf numFmtId="44" fontId="45" fillId="0" borderId="11" xfId="2" applyFont="1" applyBorder="1" applyAlignment="1" applyProtection="1">
      <alignment horizontal="center" vertical="center" wrapText="1"/>
    </xf>
    <xf numFmtId="44" fontId="6" fillId="0" borderId="0" xfId="2" applyFont="1" applyBorder="1" applyAlignment="1" applyProtection="1">
      <alignment horizontal="center" vertical="center"/>
    </xf>
    <xf numFmtId="10" fontId="1" fillId="0" borderId="0" xfId="3" applyNumberFormat="1" applyFont="1" applyFill="1" applyBorder="1" applyAlignment="1" applyProtection="1">
      <alignment horizontal="center" vertical="center"/>
    </xf>
    <xf numFmtId="44" fontId="0" fillId="0" borderId="0" xfId="2" applyFont="1" applyBorder="1" applyAlignment="1" applyProtection="1">
      <alignment horizontal="center"/>
    </xf>
    <xf numFmtId="44" fontId="0" fillId="0" borderId="1" xfId="2" applyFont="1" applyBorder="1" applyAlignment="1" applyProtection="1">
      <alignment horizontal="center"/>
    </xf>
    <xf numFmtId="10" fontId="0" fillId="0" borderId="0" xfId="3" applyNumberFormat="1" applyFont="1" applyFill="1" applyAlignment="1" applyProtection="1">
      <alignment horizontal="center"/>
    </xf>
    <xf numFmtId="10" fontId="6" fillId="0" borderId="36" xfId="3" applyNumberFormat="1" applyFont="1" applyFill="1" applyBorder="1" applyAlignment="1" applyProtection="1">
      <alignment horizontal="center"/>
    </xf>
    <xf numFmtId="44" fontId="0" fillId="0" borderId="0" xfId="2" applyFont="1" applyProtection="1"/>
    <xf numFmtId="0" fontId="11" fillId="37" borderId="10" xfId="165" applyFont="1" applyBorder="1" applyAlignment="1" applyProtection="1">
      <alignment vertical="center" wrapText="1"/>
    </xf>
    <xf numFmtId="0" fontId="7" fillId="0" borderId="9" xfId="21" applyFont="1" applyFill="1" applyBorder="1" applyAlignment="1" applyProtection="1">
      <alignment horizontal="center" vertical="center"/>
    </xf>
    <xf numFmtId="0" fontId="38" fillId="5" borderId="0" xfId="93" applyFont="1" applyFill="1" applyAlignment="1">
      <alignment horizontal="left" vertical="center"/>
    </xf>
    <xf numFmtId="0" fontId="7" fillId="0" borderId="9" xfId="20" applyFont="1" applyFill="1" applyBorder="1" applyAlignment="1" applyProtection="1">
      <alignment horizontal="center" vertical="center"/>
    </xf>
    <xf numFmtId="0" fontId="11" fillId="5" borderId="0" xfId="19" applyFont="1" applyFill="1" applyBorder="1" applyAlignment="1" applyProtection="1">
      <alignment horizontal="left" vertical="center"/>
    </xf>
    <xf numFmtId="0" fontId="11" fillId="37" borderId="38" xfId="165" applyFont="1" applyBorder="1" applyAlignment="1" applyProtection="1">
      <alignment horizontal="center" vertical="center"/>
    </xf>
    <xf numFmtId="0" fontId="11" fillId="5" borderId="22" xfId="21" applyFont="1" applyFill="1" applyBorder="1" applyAlignment="1" applyProtection="1">
      <alignment horizontal="left" vertical="center" wrapText="1"/>
    </xf>
    <xf numFmtId="0" fontId="8" fillId="0" borderId="9" xfId="21" applyFont="1" applyFill="1" applyBorder="1" applyAlignment="1" applyProtection="1">
      <alignment horizontal="center" vertical="center"/>
    </xf>
    <xf numFmtId="0" fontId="8" fillId="0" borderId="10" xfId="21" applyFont="1" applyFill="1" applyBorder="1" applyAlignment="1" applyProtection="1">
      <alignment vertical="center" wrapText="1"/>
    </xf>
    <xf numFmtId="0" fontId="8" fillId="0" borderId="11" xfId="21" applyFont="1" applyFill="1" applyBorder="1" applyAlignment="1" applyProtection="1">
      <alignment vertical="center" wrapText="1"/>
    </xf>
    <xf numFmtId="0" fontId="8" fillId="0" borderId="38" xfId="21" applyNumberFormat="1" applyFont="1" applyFill="1" applyBorder="1" applyAlignment="1" applyProtection="1">
      <alignment horizontal="center" vertical="center" wrapText="1"/>
    </xf>
    <xf numFmtId="0" fontId="11" fillId="5" borderId="22" xfId="21" applyFont="1" applyFill="1" applyBorder="1" applyAlignment="1" applyProtection="1">
      <alignment horizontal="left" vertical="center"/>
    </xf>
    <xf numFmtId="0" fontId="7" fillId="0" borderId="10" xfId="21" applyFont="1" applyFill="1" applyBorder="1" applyAlignment="1" applyProtection="1">
      <alignment vertical="center"/>
    </xf>
    <xf numFmtId="0" fontId="7" fillId="0" borderId="11" xfId="21" applyFont="1" applyFill="1" applyBorder="1" applyAlignment="1" applyProtection="1">
      <alignment vertical="center"/>
    </xf>
    <xf numFmtId="0" fontId="11" fillId="5" borderId="22" xfId="20" applyFont="1" applyFill="1" applyBorder="1" applyAlignment="1" applyProtection="1">
      <alignment horizontal="left" vertical="center"/>
    </xf>
    <xf numFmtId="0" fontId="7" fillId="0" borderId="10" xfId="20" applyFont="1" applyFill="1" applyBorder="1" applyAlignment="1" applyProtection="1">
      <alignment vertical="center"/>
    </xf>
    <xf numFmtId="0" fontId="7" fillId="0" borderId="11" xfId="20" applyFont="1" applyFill="1" applyBorder="1" applyAlignment="1" applyProtection="1">
      <alignment vertical="center"/>
    </xf>
    <xf numFmtId="44" fontId="7" fillId="0" borderId="38" xfId="2" applyFont="1" applyFill="1" applyBorder="1" applyAlignment="1" applyProtection="1">
      <alignment horizontal="center" vertical="center"/>
    </xf>
    <xf numFmtId="188" fontId="7" fillId="0" borderId="38" xfId="21" applyNumberFormat="1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/>
    </xf>
    <xf numFmtId="14" fontId="7" fillId="0" borderId="38" xfId="21" applyNumberFormat="1" applyFont="1" applyFill="1" applyBorder="1" applyAlignment="1" applyProtection="1">
      <alignment horizontal="center" vertical="center"/>
    </xf>
    <xf numFmtId="44" fontId="43" fillId="0" borderId="38" xfId="173" applyNumberFormat="1" applyFill="1" applyBorder="1" applyAlignment="1" applyProtection="1">
      <alignment horizontal="center" vertical="center"/>
    </xf>
    <xf numFmtId="44" fontId="7" fillId="0" borderId="38" xfId="21" applyNumberFormat="1" applyFont="1" applyFill="1" applyBorder="1" applyAlignment="1" applyProtection="1">
      <alignment horizontal="center" vertical="center"/>
    </xf>
    <xf numFmtId="44" fontId="7" fillId="0" borderId="38" xfId="20" applyNumberFormat="1" applyFont="1" applyFill="1" applyBorder="1" applyAlignment="1" applyProtection="1">
      <alignment horizontal="center" vertical="center"/>
    </xf>
    <xf numFmtId="0" fontId="0" fillId="0" borderId="0" xfId="18" applyFont="1" applyFill="1" applyBorder="1" applyAlignment="1" applyProtection="1">
      <alignment vertical="center"/>
    </xf>
    <xf numFmtId="10" fontId="0" fillId="0" borderId="25" xfId="18" applyNumberFormat="1" applyFont="1" applyFill="1" applyBorder="1" applyAlignment="1" applyProtection="1">
      <alignment horizontal="right" vertical="center"/>
    </xf>
    <xf numFmtId="44" fontId="0" fillId="0" borderId="22" xfId="18" applyNumberFormat="1" applyFont="1" applyFill="1" applyBorder="1" applyAlignment="1" applyProtection="1">
      <alignment horizontal="center" vertical="center"/>
    </xf>
    <xf numFmtId="0" fontId="11" fillId="5" borderId="18" xfId="5" applyFont="1" applyFill="1" applyBorder="1" applyAlignment="1" applyProtection="1">
      <alignment vertical="center"/>
    </xf>
    <xf numFmtId="0" fontId="11" fillId="37" borderId="10" xfId="165" applyFont="1" applyBorder="1" applyAlignment="1" applyProtection="1">
      <alignment vertical="center"/>
    </xf>
    <xf numFmtId="0" fontId="11" fillId="5" borderId="0" xfId="5" applyFont="1" applyFill="1" applyBorder="1" applyAlignment="1" applyProtection="1">
      <alignment vertical="center"/>
    </xf>
    <xf numFmtId="0" fontId="6" fillId="0" borderId="7" xfId="18" applyFont="1" applyFill="1" applyBorder="1" applyAlignment="1" applyProtection="1">
      <alignment horizontal="center" vertical="center"/>
    </xf>
    <xf numFmtId="0" fontId="6" fillId="0" borderId="22" xfId="18" applyFont="1" applyFill="1" applyBorder="1" applyAlignment="1" applyProtection="1">
      <alignment vertical="center"/>
    </xf>
    <xf numFmtId="0" fontId="6" fillId="0" borderId="4" xfId="18" applyFont="1" applyFill="1" applyBorder="1" applyAlignment="1" applyProtection="1">
      <alignment horizontal="center" vertical="center"/>
    </xf>
    <xf numFmtId="44" fontId="0" fillId="0" borderId="38" xfId="18" applyNumberFormat="1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vertical="center"/>
    </xf>
    <xf numFmtId="0" fontId="6" fillId="0" borderId="5" xfId="18" applyFont="1" applyFill="1" applyBorder="1" applyAlignment="1" applyProtection="1">
      <alignment horizontal="center" vertical="center"/>
    </xf>
    <xf numFmtId="0" fontId="1" fillId="0" borderId="37" xfId="4" applyFill="1" applyBorder="1" applyAlignment="1" applyProtection="1">
      <alignment horizontal="center" vertical="center"/>
    </xf>
    <xf numFmtId="9" fontId="14" fillId="0" borderId="49" xfId="4" applyNumberFormat="1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left" vertical="center" indent="2"/>
    </xf>
    <xf numFmtId="0" fontId="6" fillId="0" borderId="8" xfId="4" applyFont="1" applyFill="1" applyBorder="1" applyAlignment="1" applyProtection="1">
      <alignment horizontal="center" vertical="center"/>
    </xf>
    <xf numFmtId="0" fontId="6" fillId="0" borderId="22" xfId="171" applyFont="1" applyFill="1" applyBorder="1" applyAlignment="1" applyProtection="1">
      <alignment vertical="center"/>
    </xf>
    <xf numFmtId="0" fontId="6" fillId="0" borderId="1" xfId="171" applyFont="1" applyFill="1" applyBorder="1" applyAlignment="1" applyProtection="1">
      <alignment horizontal="center" vertical="center"/>
    </xf>
    <xf numFmtId="0" fontId="14" fillId="0" borderId="45" xfId="18" applyFont="1" applyFill="1" applyBorder="1" applyAlignment="1" applyProtection="1">
      <alignment horizontal="left" vertical="center" indent="2"/>
    </xf>
    <xf numFmtId="0" fontId="14" fillId="0" borderId="37" xfId="18" applyFont="1" applyFill="1" applyBorder="1" applyAlignment="1" applyProtection="1">
      <alignment horizontal="center" vertical="center"/>
    </xf>
    <xf numFmtId="44" fontId="14" fillId="0" borderId="49" xfId="18" applyNumberFormat="1" applyFont="1" applyFill="1" applyBorder="1" applyAlignment="1" applyProtection="1">
      <alignment horizontal="center" vertical="center"/>
    </xf>
    <xf numFmtId="0" fontId="14" fillId="0" borderId="46" xfId="18" applyFont="1" applyFill="1" applyBorder="1" applyAlignment="1" applyProtection="1">
      <alignment horizontal="left" vertical="center" indent="2"/>
    </xf>
    <xf numFmtId="0" fontId="14" fillId="0" borderId="47" xfId="4" applyFont="1" applyFill="1" applyBorder="1" applyAlignment="1" applyProtection="1">
      <alignment horizontal="center" vertical="center"/>
    </xf>
    <xf numFmtId="9" fontId="14" fillId="5" borderId="50" xfId="4" applyNumberFormat="1" applyFont="1" applyFill="1" applyBorder="1" applyAlignment="1" applyProtection="1">
      <alignment horizontal="center" vertical="center"/>
    </xf>
    <xf numFmtId="9" fontId="14" fillId="0" borderId="50" xfId="4" applyNumberFormat="1" applyFont="1" applyFill="1" applyBorder="1" applyAlignment="1" applyProtection="1">
      <alignment horizontal="center" vertical="center"/>
    </xf>
    <xf numFmtId="0" fontId="11" fillId="5" borderId="1" xfId="5" applyFont="1" applyFill="1" applyBorder="1" applyAlignment="1" applyProtection="1">
      <alignment vertical="center"/>
    </xf>
    <xf numFmtId="0" fontId="6" fillId="0" borderId="5" xfId="4" applyFont="1" applyFill="1" applyBorder="1" applyAlignment="1" applyProtection="1">
      <alignment horizontal="center" vertical="center"/>
    </xf>
    <xf numFmtId="0" fontId="14" fillId="0" borderId="36" xfId="4" applyFont="1" applyFill="1" applyBorder="1" applyAlignment="1" applyProtection="1">
      <alignment horizontal="left" vertical="center" indent="2"/>
    </xf>
    <xf numFmtId="9" fontId="1" fillId="0" borderId="49" xfId="4" applyNumberFormat="1" applyFill="1" applyBorder="1" applyAlignment="1" applyProtection="1">
      <alignment horizontal="center" vertical="center"/>
    </xf>
    <xf numFmtId="0" fontId="6" fillId="0" borderId="22" xfId="4" applyFont="1" applyFill="1" applyBorder="1" applyAlignment="1" applyProtection="1">
      <alignment vertical="center"/>
    </xf>
    <xf numFmtId="0" fontId="1" fillId="0" borderId="1" xfId="4" applyFill="1" applyBorder="1" applyAlignment="1" applyProtection="1">
      <alignment horizontal="center" vertical="center"/>
    </xf>
    <xf numFmtId="0" fontId="14" fillId="0" borderId="37" xfId="4" applyFont="1" applyFill="1" applyBorder="1" applyAlignment="1" applyProtection="1">
      <alignment horizontal="center" vertical="center"/>
    </xf>
    <xf numFmtId="168" fontId="0" fillId="0" borderId="49" xfId="4" applyNumberFormat="1" applyFont="1" applyFill="1" applyBorder="1" applyAlignment="1" applyProtection="1">
      <alignment horizontal="center" vertical="center"/>
    </xf>
    <xf numFmtId="0" fontId="14" fillId="0" borderId="47" xfId="18" applyFont="1" applyFill="1" applyBorder="1" applyAlignment="1" applyProtection="1">
      <alignment horizontal="center" vertical="center"/>
    </xf>
    <xf numFmtId="169" fontId="0" fillId="0" borderId="50" xfId="18" applyNumberFormat="1" applyFont="1" applyFill="1" applyBorder="1" applyAlignment="1" applyProtection="1">
      <alignment horizontal="center" vertical="center"/>
    </xf>
    <xf numFmtId="0" fontId="6" fillId="0" borderId="43" xfId="18" applyFont="1" applyFill="1" applyBorder="1" applyAlignment="1" applyProtection="1">
      <alignment vertical="center"/>
    </xf>
    <xf numFmtId="44" fontId="0" fillId="0" borderId="48" xfId="18" applyNumberFormat="1" applyFont="1" applyFill="1" applyBorder="1" applyAlignment="1" applyProtection="1">
      <alignment horizontal="center" vertical="center"/>
    </xf>
    <xf numFmtId="0" fontId="6" fillId="0" borderId="44" xfId="4" applyFont="1" applyFill="1" applyBorder="1" applyAlignment="1" applyProtection="1">
      <alignment vertical="center"/>
    </xf>
    <xf numFmtId="0" fontId="11" fillId="5" borderId="0" xfId="5" applyFont="1" applyFill="1" applyBorder="1" applyAlignment="1" applyProtection="1">
      <alignment horizontal="center" vertical="center"/>
    </xf>
    <xf numFmtId="0" fontId="14" fillId="0" borderId="45" xfId="4" applyFont="1" applyFill="1" applyBorder="1" applyAlignment="1" applyProtection="1">
      <alignment horizontal="left" vertical="center" indent="2"/>
    </xf>
    <xf numFmtId="185" fontId="1" fillId="0" borderId="49" xfId="4" applyNumberFormat="1" applyFill="1" applyBorder="1" applyAlignment="1" applyProtection="1">
      <alignment horizontal="center" vertical="center"/>
    </xf>
    <xf numFmtId="0" fontId="6" fillId="0" borderId="43" xfId="4" applyFont="1" applyFill="1" applyBorder="1" applyAlignment="1" applyProtection="1">
      <alignment vertical="center"/>
    </xf>
    <xf numFmtId="0" fontId="6" fillId="0" borderId="44" xfId="18" applyFont="1" applyFill="1" applyBorder="1" applyAlignment="1" applyProtection="1">
      <alignment vertical="center"/>
    </xf>
    <xf numFmtId="0" fontId="0" fillId="0" borderId="37" xfId="18" applyFont="1" applyFill="1" applyBorder="1" applyAlignment="1" applyProtection="1">
      <alignment horizontal="center" vertical="center"/>
    </xf>
    <xf numFmtId="9" fontId="0" fillId="0" borderId="49" xfId="18" applyNumberFormat="1" applyFont="1" applyFill="1" applyBorder="1" applyAlignment="1" applyProtection="1">
      <alignment horizontal="center" vertical="center"/>
    </xf>
    <xf numFmtId="0" fontId="0" fillId="0" borderId="47" xfId="4" applyFont="1" applyFill="1" applyBorder="1" applyAlignment="1" applyProtection="1">
      <alignment horizontal="center" vertical="center"/>
    </xf>
    <xf numFmtId="168" fontId="0" fillId="0" borderId="50" xfId="4" applyNumberFormat="1" applyFont="1" applyFill="1" applyBorder="1" applyAlignment="1" applyProtection="1">
      <alignment horizontal="center" vertical="center"/>
    </xf>
    <xf numFmtId="44" fontId="0" fillId="0" borderId="48" xfId="4" applyNumberFormat="1" applyFont="1" applyFill="1" applyBorder="1" applyAlignment="1" applyProtection="1">
      <alignment horizontal="center" vertical="center"/>
    </xf>
    <xf numFmtId="0" fontId="14" fillId="0" borderId="46" xfId="4" applyFont="1" applyFill="1" applyBorder="1" applyAlignment="1" applyProtection="1">
      <alignment horizontal="left" vertical="center" indent="2"/>
    </xf>
    <xf numFmtId="0" fontId="1" fillId="0" borderId="47" xfId="4" applyFill="1" applyBorder="1" applyAlignment="1" applyProtection="1">
      <alignment horizontal="center" vertical="center"/>
    </xf>
    <xf numFmtId="0" fontId="6" fillId="0" borderId="9" xfId="18" applyFont="1" applyFill="1" applyBorder="1" applyAlignment="1" applyProtection="1">
      <alignment horizontal="center" vertical="center"/>
    </xf>
    <xf numFmtId="0" fontId="6" fillId="0" borderId="51" xfId="18" applyFont="1" applyFill="1" applyBorder="1" applyAlignment="1" applyProtection="1">
      <alignment vertical="center"/>
    </xf>
    <xf numFmtId="0" fontId="6" fillId="0" borderId="11" xfId="18" applyFont="1" applyFill="1" applyBorder="1" applyAlignment="1" applyProtection="1">
      <alignment horizontal="center" vertical="center"/>
    </xf>
    <xf numFmtId="44" fontId="0" fillId="0" borderId="38" xfId="2" applyFont="1" applyFill="1" applyBorder="1" applyAlignment="1" applyProtection="1">
      <alignment horizontal="center" vertical="center"/>
    </xf>
    <xf numFmtId="0" fontId="11" fillId="5" borderId="22" xfId="5" applyFont="1" applyFill="1" applyBorder="1" applyAlignment="1" applyProtection="1">
      <alignment vertical="center"/>
    </xf>
    <xf numFmtId="0" fontId="6" fillId="0" borderId="9" xfId="4" applyFont="1" applyFill="1" applyBorder="1" applyAlignment="1" applyProtection="1">
      <alignment horizontal="center" vertical="center"/>
    </xf>
    <xf numFmtId="0" fontId="6" fillId="0" borderId="51" xfId="4" applyFont="1" applyFill="1" applyBorder="1" applyAlignment="1" applyProtection="1">
      <alignment vertical="center"/>
    </xf>
    <xf numFmtId="0" fontId="1" fillId="0" borderId="11" xfId="4" applyFill="1" applyBorder="1" applyAlignment="1" applyProtection="1">
      <alignment horizontal="center" vertical="center"/>
    </xf>
    <xf numFmtId="44" fontId="1" fillId="0" borderId="38" xfId="4" applyNumberFormat="1" applyFill="1" applyBorder="1" applyAlignment="1" applyProtection="1">
      <alignment horizontal="center" vertical="center"/>
    </xf>
    <xf numFmtId="0" fontId="11" fillId="5" borderId="23" xfId="5" applyFont="1" applyFill="1" applyBorder="1" applyAlignment="1" applyProtection="1">
      <alignment vertical="center"/>
    </xf>
    <xf numFmtId="0" fontId="11" fillId="37" borderId="11" xfId="165" applyFont="1" applyBorder="1" applyAlignment="1" applyProtection="1">
      <alignment vertical="center"/>
    </xf>
    <xf numFmtId="44" fontId="11" fillId="37" borderId="38" xfId="165" applyNumberFormat="1" applyFont="1" applyBorder="1" applyAlignment="1" applyProtection="1">
      <alignment horizontal="center" vertical="center"/>
    </xf>
    <xf numFmtId="44" fontId="11" fillId="37" borderId="11" xfId="165" applyNumberFormat="1" applyFont="1" applyBorder="1" applyAlignment="1" applyProtection="1">
      <alignment horizontal="center" vertical="center"/>
    </xf>
    <xf numFmtId="44" fontId="11" fillId="37" borderId="10" xfId="165" applyNumberFormat="1" applyFont="1" applyBorder="1" applyAlignment="1" applyProtection="1">
      <alignment horizontal="center" vertical="center"/>
    </xf>
    <xf numFmtId="44" fontId="39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0" fontId="11" fillId="0" borderId="24" xfId="5" applyFont="1" applyFill="1" applyBorder="1" applyAlignment="1" applyProtection="1">
      <alignment vertical="center"/>
    </xf>
    <xf numFmtId="0" fontId="11" fillId="39" borderId="10" xfId="172" applyFont="1" applyBorder="1" applyAlignment="1" applyProtection="1">
      <alignment vertical="center"/>
    </xf>
    <xf numFmtId="44" fontId="11" fillId="39" borderId="38" xfId="172" applyNumberFormat="1" applyFont="1" applyBorder="1" applyAlignment="1" applyProtection="1">
      <alignment vertical="center"/>
    </xf>
    <xf numFmtId="44" fontId="11" fillId="39" borderId="11" xfId="172" applyNumberFormat="1" applyFont="1" applyBorder="1" applyAlignment="1" applyProtection="1">
      <alignment vertical="center"/>
    </xf>
    <xf numFmtId="10" fontId="6" fillId="0" borderId="11" xfId="3" applyNumberFormat="1" applyFont="1" applyFill="1" applyBorder="1" applyAlignment="1" applyProtection="1">
      <alignment horizontal="center" vertical="center"/>
    </xf>
    <xf numFmtId="0" fontId="8" fillId="0" borderId="43" xfId="18" applyFont="1" applyFill="1" applyBorder="1" applyAlignment="1" applyProtection="1">
      <alignment vertical="center"/>
    </xf>
    <xf numFmtId="0" fontId="11" fillId="0" borderId="25" xfId="5" applyFont="1" applyFill="1" applyBorder="1" applyAlignment="1" applyProtection="1">
      <alignment vertical="center"/>
    </xf>
    <xf numFmtId="0" fontId="11" fillId="39" borderId="11" xfId="172" applyFont="1" applyBorder="1" applyAlignment="1" applyProtection="1">
      <alignment vertical="center"/>
    </xf>
    <xf numFmtId="44" fontId="0" fillId="0" borderId="11" xfId="18" applyNumberFormat="1" applyFont="1" applyFill="1" applyBorder="1" applyAlignment="1" applyProtection="1">
      <alignment horizontal="center" vertical="center"/>
    </xf>
    <xf numFmtId="0" fontId="6" fillId="0" borderId="53" xfId="18" applyFont="1" applyFill="1" applyBorder="1" applyAlignment="1" applyProtection="1">
      <alignment vertical="center"/>
    </xf>
    <xf numFmtId="0" fontId="14" fillId="0" borderId="54" xfId="18" applyFont="1" applyFill="1" applyBorder="1" applyAlignment="1" applyProtection="1">
      <alignment horizontal="left" vertical="center" indent="2"/>
    </xf>
    <xf numFmtId="0" fontId="14" fillId="0" borderId="52" xfId="18" applyFont="1" applyFill="1" applyBorder="1" applyAlignment="1" applyProtection="1">
      <alignment horizontal="left" vertical="center" indent="2"/>
    </xf>
    <xf numFmtId="2" fontId="0" fillId="0" borderId="47" xfId="18" applyNumberFormat="1" applyFont="1" applyFill="1" applyBorder="1" applyAlignment="1" applyProtection="1">
      <alignment horizontal="center" vertical="center"/>
    </xf>
    <xf numFmtId="10" fontId="6" fillId="0" borderId="8" xfId="18" applyNumberFormat="1" applyFont="1" applyFill="1" applyBorder="1" applyAlignment="1" applyProtection="1">
      <alignment horizontal="center" vertical="center"/>
    </xf>
    <xf numFmtId="44" fontId="0" fillId="0" borderId="8" xfId="2" applyFont="1" applyFill="1" applyBorder="1" applyAlignment="1" applyProtection="1">
      <alignment vertical="center"/>
    </xf>
    <xf numFmtId="0" fontId="11" fillId="39" borderId="3" xfId="172" applyFont="1" applyBorder="1" applyAlignment="1" applyProtection="1">
      <alignment horizontal="center" vertical="center"/>
    </xf>
    <xf numFmtId="0" fontId="11" fillId="39" borderId="4" xfId="172" applyFont="1" applyBorder="1" applyAlignment="1" applyProtection="1">
      <alignment horizontal="left" vertical="center"/>
    </xf>
    <xf numFmtId="0" fontId="11" fillId="39" borderId="4" xfId="172" applyFont="1" applyBorder="1" applyAlignment="1" applyProtection="1">
      <alignment vertical="center"/>
    </xf>
    <xf numFmtId="0" fontId="2" fillId="0" borderId="5" xfId="172" applyFill="1" applyBorder="1" applyAlignment="1" applyProtection="1">
      <alignment vertical="center"/>
    </xf>
    <xf numFmtId="44" fontId="0" fillId="0" borderId="61" xfId="4" applyNumberFormat="1" applyFont="1" applyFill="1" applyBorder="1" applyAlignment="1" applyProtection="1">
      <alignment horizontal="right" vertical="center"/>
    </xf>
    <xf numFmtId="44" fontId="0" fillId="0" borderId="60" xfId="4" applyNumberFormat="1" applyFont="1" applyFill="1" applyBorder="1" applyAlignment="1" applyProtection="1">
      <alignment horizontal="center" vertical="center"/>
    </xf>
    <xf numFmtId="10" fontId="0" fillId="0" borderId="47" xfId="18" applyNumberFormat="1" applyFont="1" applyFill="1" applyBorder="1" applyAlignment="1" applyProtection="1">
      <alignment horizontal="right" vertical="center"/>
    </xf>
    <xf numFmtId="0" fontId="0" fillId="0" borderId="50" xfId="18" applyNumberFormat="1" applyFont="1" applyFill="1" applyBorder="1" applyAlignment="1" applyProtection="1">
      <alignment horizontal="center" vertical="center"/>
    </xf>
    <xf numFmtId="10" fontId="0" fillId="0" borderId="47" xfId="4" applyNumberFormat="1" applyFont="1" applyFill="1" applyBorder="1" applyAlignment="1" applyProtection="1">
      <alignment horizontal="right" vertical="center"/>
    </xf>
    <xf numFmtId="0" fontId="0" fillId="0" borderId="50" xfId="4" applyNumberFormat="1" applyFont="1" applyFill="1" applyBorder="1" applyAlignment="1" applyProtection="1">
      <alignment horizontal="center" vertical="center"/>
    </xf>
    <xf numFmtId="9" fontId="0" fillId="0" borderId="50" xfId="18" applyNumberFormat="1" applyFont="1" applyFill="1" applyBorder="1" applyAlignment="1" applyProtection="1">
      <alignment horizontal="center" vertical="center"/>
    </xf>
    <xf numFmtId="44" fontId="6" fillId="0" borderId="8" xfId="18" applyNumberFormat="1" applyFont="1" applyFill="1" applyBorder="1" applyAlignment="1" applyProtection="1">
      <alignment horizontal="center" vertical="center"/>
    </xf>
    <xf numFmtId="0" fontId="6" fillId="0" borderId="53" xfId="4" applyFont="1" applyFill="1" applyBorder="1" applyAlignment="1" applyProtection="1">
      <alignment vertical="center"/>
    </xf>
    <xf numFmtId="44" fontId="6" fillId="0" borderId="58" xfId="18" applyNumberFormat="1" applyFont="1" applyFill="1" applyBorder="1" applyAlignment="1" applyProtection="1">
      <alignment horizontal="center" vertical="center"/>
    </xf>
    <xf numFmtId="0" fontId="14" fillId="0" borderId="54" xfId="4" applyFont="1" applyFill="1" applyBorder="1" applyAlignment="1" applyProtection="1">
      <alignment horizontal="left" vertical="center" indent="2"/>
    </xf>
    <xf numFmtId="44" fontId="1" fillId="0" borderId="61" xfId="4" applyNumberFormat="1" applyFill="1" applyBorder="1" applyAlignment="1" applyProtection="1">
      <alignment horizontal="right" vertical="center"/>
    </xf>
    <xf numFmtId="44" fontId="1" fillId="0" borderId="60" xfId="4" applyNumberFormat="1" applyFill="1" applyBorder="1" applyAlignment="1" applyProtection="1">
      <alignment horizontal="center" vertical="center"/>
    </xf>
    <xf numFmtId="10" fontId="1" fillId="0" borderId="47" xfId="4" applyNumberFormat="1" applyFill="1" applyBorder="1" applyAlignment="1" applyProtection="1">
      <alignment horizontal="right" vertical="center"/>
    </xf>
    <xf numFmtId="0" fontId="1" fillId="0" borderId="50" xfId="4" applyNumberFormat="1" applyFill="1" applyBorder="1" applyAlignment="1" applyProtection="1">
      <alignment horizontal="center" vertical="center"/>
    </xf>
    <xf numFmtId="9" fontId="1" fillId="0" borderId="50" xfId="4" applyNumberFormat="1" applyFill="1" applyBorder="1" applyAlignment="1" applyProtection="1">
      <alignment horizontal="center" vertical="center"/>
    </xf>
    <xf numFmtId="0" fontId="14" fillId="0" borderId="54" xfId="18" applyFont="1" applyFill="1" applyBorder="1" applyAlignment="1" applyProtection="1">
      <alignment horizontal="left" vertical="center"/>
    </xf>
    <xf numFmtId="44" fontId="0" fillId="0" borderId="61" xfId="18" applyNumberFormat="1" applyFont="1" applyFill="1" applyBorder="1" applyAlignment="1" applyProtection="1">
      <alignment horizontal="right" vertical="center"/>
    </xf>
    <xf numFmtId="44" fontId="0" fillId="0" borderId="60" xfId="18" applyNumberFormat="1" applyFont="1" applyFill="1" applyBorder="1" applyAlignment="1" applyProtection="1">
      <alignment horizontal="center" vertical="center"/>
    </xf>
    <xf numFmtId="0" fontId="14" fillId="0" borderId="46" xfId="18" applyFont="1" applyFill="1" applyBorder="1" applyAlignment="1" applyProtection="1">
      <alignment horizontal="left" vertical="center"/>
    </xf>
    <xf numFmtId="9" fontId="0" fillId="0" borderId="50" xfId="4" applyNumberFormat="1" applyFont="1" applyFill="1" applyBorder="1" applyAlignment="1" applyProtection="1">
      <alignment horizontal="center" vertical="center"/>
    </xf>
    <xf numFmtId="44" fontId="0" fillId="0" borderId="64" xfId="4" applyNumberFormat="1" applyFont="1" applyFill="1" applyBorder="1" applyAlignment="1" applyProtection="1">
      <alignment horizontal="center" vertical="center"/>
    </xf>
    <xf numFmtId="10" fontId="6" fillId="0" borderId="8" xfId="3" applyNumberFormat="1" applyFont="1" applyFill="1" applyBorder="1" applyAlignment="1" applyProtection="1">
      <alignment horizontal="center" vertical="center"/>
    </xf>
    <xf numFmtId="10" fontId="6" fillId="0" borderId="5" xfId="3" applyNumberFormat="1" applyFont="1" applyFill="1" applyBorder="1" applyAlignment="1" applyProtection="1">
      <alignment horizontal="center" vertical="center"/>
    </xf>
    <xf numFmtId="0" fontId="14" fillId="0" borderId="54" xfId="4" applyFont="1" applyFill="1" applyBorder="1" applyAlignment="1" applyProtection="1">
      <alignment horizontal="left" vertical="center"/>
    </xf>
    <xf numFmtId="10" fontId="1" fillId="0" borderId="61" xfId="4" applyNumberFormat="1" applyFill="1" applyBorder="1" applyAlignment="1" applyProtection="1">
      <alignment horizontal="right" vertical="center"/>
    </xf>
    <xf numFmtId="0" fontId="14" fillId="0" borderId="46" xfId="4" applyFont="1" applyFill="1" applyBorder="1" applyAlignment="1" applyProtection="1">
      <alignment horizontal="left" vertical="center"/>
    </xf>
    <xf numFmtId="10" fontId="6" fillId="0" borderId="1" xfId="3" applyNumberFormat="1" applyFont="1" applyFill="1" applyBorder="1" applyAlignment="1" applyProtection="1">
      <alignment horizontal="center" vertical="center"/>
    </xf>
    <xf numFmtId="44" fontId="0" fillId="0" borderId="55" xfId="18" applyNumberFormat="1" applyFont="1" applyFill="1" applyBorder="1" applyAlignment="1" applyProtection="1">
      <alignment horizontal="center" vertical="center"/>
    </xf>
    <xf numFmtId="44" fontId="1" fillId="0" borderId="60" xfId="4" applyNumberFormat="1" applyFill="1" applyBorder="1" applyAlignment="1" applyProtection="1">
      <alignment horizontal="right" vertical="center"/>
    </xf>
    <xf numFmtId="10" fontId="1" fillId="0" borderId="50" xfId="4" applyNumberFormat="1" applyFill="1" applyBorder="1" applyAlignment="1" applyProtection="1">
      <alignment horizontal="right" vertical="center"/>
    </xf>
    <xf numFmtId="44" fontId="6" fillId="0" borderId="63" xfId="18" applyNumberFormat="1" applyFont="1" applyFill="1" applyBorder="1" applyAlignment="1" applyProtection="1">
      <alignment horizontal="center" vertical="center"/>
    </xf>
    <xf numFmtId="44" fontId="1" fillId="0" borderId="48" xfId="4" applyNumberFormat="1" applyFill="1" applyBorder="1" applyAlignment="1" applyProtection="1">
      <alignment horizontal="right" vertical="center"/>
    </xf>
    <xf numFmtId="0" fontId="11" fillId="39" borderId="6" xfId="172" applyFont="1" applyBorder="1" applyAlignment="1" applyProtection="1">
      <alignment horizontal="center" vertical="center"/>
    </xf>
    <xf numFmtId="0" fontId="11" fillId="39" borderId="2" xfId="172" applyFont="1" applyBorder="1" applyAlignment="1" applyProtection="1">
      <alignment horizontal="left" vertical="center"/>
    </xf>
    <xf numFmtId="0" fontId="11" fillId="39" borderId="8" xfId="172" applyFont="1" applyBorder="1" applyAlignment="1" applyProtection="1">
      <alignment vertical="center"/>
    </xf>
    <xf numFmtId="44" fontId="11" fillId="39" borderId="48" xfId="172" applyNumberFormat="1" applyFont="1" applyBorder="1" applyAlignment="1" applyProtection="1">
      <alignment vertical="center"/>
    </xf>
    <xf numFmtId="44" fontId="11" fillId="37" borderId="9" xfId="165" applyNumberFormat="1" applyFont="1" applyBorder="1" applyAlignment="1" applyProtection="1">
      <alignment horizontal="center" vertical="center"/>
    </xf>
    <xf numFmtId="44" fontId="11" fillId="0" borderId="0" xfId="13" applyNumberFormat="1" applyFont="1" applyFill="1" applyBorder="1" applyAlignment="1" applyProtection="1">
      <alignment horizontal="center" vertical="center"/>
    </xf>
    <xf numFmtId="44" fontId="11" fillId="37" borderId="11" xfId="165" applyNumberFormat="1" applyFont="1" applyBorder="1" applyAlignment="1" applyProtection="1">
      <alignment vertical="center"/>
    </xf>
    <xf numFmtId="0" fontId="11" fillId="0" borderId="24" xfId="14" applyFont="1" applyFill="1" applyBorder="1" applyAlignment="1" applyProtection="1">
      <alignment vertical="center"/>
    </xf>
    <xf numFmtId="44" fontId="39" fillId="0" borderId="16" xfId="15" applyNumberFormat="1" applyFont="1" applyFill="1" applyBorder="1" applyAlignment="1" applyProtection="1">
      <alignment vertical="center"/>
    </xf>
    <xf numFmtId="0" fontId="11" fillId="0" borderId="25" xfId="14" applyFont="1" applyFill="1" applyBorder="1" applyAlignment="1" applyProtection="1">
      <alignment vertical="center"/>
    </xf>
    <xf numFmtId="0" fontId="6" fillId="0" borderId="11" xfId="3" applyNumberFormat="1" applyFont="1" applyFill="1" applyBorder="1" applyAlignment="1" applyProtection="1">
      <alignment horizontal="center" vertical="center"/>
    </xf>
    <xf numFmtId="0" fontId="11" fillId="0" borderId="0" xfId="14" applyFont="1" applyFill="1" applyBorder="1" applyAlignment="1" applyProtection="1">
      <alignment vertical="center"/>
    </xf>
    <xf numFmtId="0" fontId="1" fillId="0" borderId="37" xfId="4" applyNumberFormat="1" applyFill="1" applyBorder="1" applyAlignment="1" applyProtection="1">
      <alignment horizontal="center" vertical="center"/>
    </xf>
    <xf numFmtId="0" fontId="1" fillId="0" borderId="49" xfId="4" applyNumberFormat="1" applyFill="1" applyBorder="1" applyAlignment="1" applyProtection="1">
      <alignment horizontal="center" vertical="center"/>
    </xf>
    <xf numFmtId="0" fontId="6" fillId="0" borderId="63" xfId="4" applyNumberFormat="1" applyFont="1" applyFill="1" applyBorder="1" applyAlignment="1" applyProtection="1">
      <alignment horizontal="center" vertical="center"/>
    </xf>
    <xf numFmtId="10" fontId="6" fillId="0" borderId="10" xfId="3" applyNumberFormat="1" applyFont="1" applyFill="1" applyBorder="1" applyAlignment="1" applyProtection="1">
      <alignment horizontal="center" vertical="center"/>
    </xf>
    <xf numFmtId="10" fontId="6" fillId="0" borderId="4" xfId="3" applyNumberFormat="1" applyFont="1" applyFill="1" applyBorder="1" applyAlignment="1" applyProtection="1">
      <alignment horizontal="center" vertical="center"/>
    </xf>
    <xf numFmtId="190" fontId="14" fillId="0" borderId="49" xfId="3" applyNumberFormat="1" applyFont="1" applyFill="1" applyBorder="1" applyAlignment="1" applyProtection="1">
      <alignment horizontal="center" vertical="center"/>
    </xf>
    <xf numFmtId="0" fontId="11" fillId="39" borderId="38" xfId="172" applyFont="1" applyBorder="1" applyAlignment="1" applyProtection="1">
      <alignment horizontal="center" vertical="center"/>
    </xf>
    <xf numFmtId="0" fontId="11" fillId="0" borderId="25" xfId="13" applyFont="1" applyFill="1" applyBorder="1" applyAlignment="1" applyProtection="1">
      <alignment horizontal="left" vertical="center"/>
    </xf>
    <xf numFmtId="0" fontId="0" fillId="5" borderId="0" xfId="0" applyFill="1" applyAlignment="1">
      <alignment horizontal="center" vertical="top"/>
    </xf>
    <xf numFmtId="0" fontId="6" fillId="0" borderId="77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52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77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97" fontId="0" fillId="0" borderId="0" xfId="0" applyNumberFormat="1"/>
    <xf numFmtId="2" fontId="0" fillId="0" borderId="0" xfId="0" applyNumberFormat="1"/>
    <xf numFmtId="1" fontId="6" fillId="0" borderId="10" xfId="0" applyNumberFormat="1" applyFont="1" applyBorder="1" applyAlignment="1">
      <alignment horizontal="center" vertical="center"/>
    </xf>
    <xf numFmtId="0" fontId="45" fillId="0" borderId="9" xfId="0" applyFont="1" applyBorder="1"/>
    <xf numFmtId="0" fontId="45" fillId="0" borderId="10" xfId="0" applyFont="1" applyBorder="1"/>
    <xf numFmtId="0" fontId="45" fillId="0" borderId="11" xfId="0" applyFont="1" applyBorder="1"/>
    <xf numFmtId="0" fontId="45" fillId="0" borderId="77" xfId="0" applyFont="1" applyBorder="1" applyAlignment="1">
      <alignment horizontal="left" vertical="center"/>
    </xf>
    <xf numFmtId="0" fontId="45" fillId="0" borderId="76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44" fontId="0" fillId="0" borderId="0" xfId="0" applyNumberFormat="1"/>
    <xf numFmtId="1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7" xfId="0" applyFont="1" applyBorder="1"/>
    <xf numFmtId="0" fontId="6" fillId="0" borderId="76" xfId="0" applyFont="1" applyBorder="1"/>
    <xf numFmtId="0" fontId="6" fillId="0" borderId="76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0" fillId="0" borderId="7" xfId="0" applyBorder="1" applyAlignment="1">
      <alignment horizontal="left" indent="1"/>
    </xf>
    <xf numFmtId="0" fontId="6" fillId="0" borderId="35" xfId="0" applyFont="1" applyBorder="1" applyAlignment="1">
      <alignment horizontal="left" indent="1"/>
    </xf>
    <xf numFmtId="0" fontId="6" fillId="0" borderId="36" xfId="0" applyFont="1" applyBorder="1"/>
    <xf numFmtId="0" fontId="6" fillId="0" borderId="62" xfId="0" applyFont="1" applyBorder="1" applyAlignment="1">
      <alignment horizontal="left"/>
    </xf>
    <xf numFmtId="0" fontId="0" fillId="0" borderId="52" xfId="0" applyBorder="1"/>
    <xf numFmtId="10" fontId="0" fillId="0" borderId="5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7" xfId="0" applyBorder="1" applyAlignment="1">
      <alignment horizontal="left" indent="3"/>
    </xf>
    <xf numFmtId="9" fontId="0" fillId="0" borderId="0" xfId="0" applyNumberFormat="1"/>
    <xf numFmtId="0" fontId="6" fillId="0" borderId="6" xfId="0" applyFont="1" applyBorder="1" applyAlignment="1">
      <alignment horizontal="left" inden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40" xfId="164" applyFont="1" applyFill="1" applyBorder="1" applyAlignment="1" applyProtection="1">
      <alignment horizontal="center" vertical="center"/>
    </xf>
    <xf numFmtId="0" fontId="6" fillId="0" borderId="41" xfId="164" applyFont="1" applyFill="1" applyBorder="1" applyAlignment="1" applyProtection="1">
      <alignment horizontal="center" vertical="center"/>
    </xf>
    <xf numFmtId="0" fontId="6" fillId="0" borderId="42" xfId="164" applyFont="1" applyFill="1" applyBorder="1" applyAlignment="1" applyProtection="1">
      <alignment horizontal="center" vertical="center"/>
    </xf>
    <xf numFmtId="0" fontId="6" fillId="0" borderId="40" xfId="18" applyFont="1" applyFill="1" applyBorder="1" applyAlignment="1" applyProtection="1">
      <alignment horizontal="center" vertical="center"/>
    </xf>
    <xf numFmtId="0" fontId="6" fillId="0" borderId="41" xfId="18" applyFont="1" applyFill="1" applyBorder="1" applyAlignment="1" applyProtection="1">
      <alignment horizontal="center" vertical="center"/>
    </xf>
    <xf numFmtId="0" fontId="6" fillId="0" borderId="42" xfId="18" applyFont="1" applyFill="1" applyBorder="1" applyAlignment="1" applyProtection="1">
      <alignment horizontal="center" vertical="center"/>
    </xf>
    <xf numFmtId="0" fontId="6" fillId="0" borderId="40" xfId="4" applyFont="1" applyFill="1" applyBorder="1" applyAlignment="1" applyProtection="1">
      <alignment horizontal="center" vertical="center"/>
    </xf>
    <xf numFmtId="0" fontId="6" fillId="0" borderId="41" xfId="4" applyFont="1" applyFill="1" applyBorder="1" applyAlignment="1" applyProtection="1">
      <alignment horizontal="center" vertical="center"/>
    </xf>
    <xf numFmtId="0" fontId="6" fillId="0" borderId="42" xfId="4" applyFont="1" applyFill="1" applyBorder="1" applyAlignment="1" applyProtection="1">
      <alignment horizontal="center" vertical="center"/>
    </xf>
    <xf numFmtId="0" fontId="6" fillId="0" borderId="7" xfId="164" applyFont="1" applyFill="1" applyBorder="1" applyAlignment="1" applyProtection="1">
      <alignment horizontal="center" vertical="center"/>
    </xf>
    <xf numFmtId="14" fontId="7" fillId="0" borderId="38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center"/>
    </xf>
    <xf numFmtId="179" fontId="7" fillId="40" borderId="38" xfId="0" applyNumberFormat="1" applyFont="1" applyFill="1" applyBorder="1" applyAlignment="1" applyProtection="1">
      <alignment horizontal="center"/>
      <protection locked="0"/>
    </xf>
    <xf numFmtId="44" fontId="7" fillId="0" borderId="38" xfId="0" applyNumberFormat="1" applyFont="1" applyBorder="1" applyAlignment="1">
      <alignment horizontal="center" vertical="center"/>
    </xf>
    <xf numFmtId="44" fontId="7" fillId="0" borderId="9" xfId="2" applyFont="1" applyFill="1" applyBorder="1" applyAlignment="1" applyProtection="1">
      <alignment horizontal="center" vertical="center"/>
    </xf>
    <xf numFmtId="44" fontId="7" fillId="0" borderId="11" xfId="2" applyFont="1" applyFill="1" applyBorder="1" applyAlignment="1" applyProtection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6" xfId="4" applyFont="1" applyFill="1" applyBorder="1" applyAlignment="1" applyProtection="1">
      <alignment horizontal="center" vertical="center"/>
    </xf>
    <xf numFmtId="49" fontId="7" fillId="40" borderId="38" xfId="0" applyNumberFormat="1" applyFont="1" applyFill="1" applyBorder="1" applyAlignment="1" applyProtection="1">
      <alignment horizontal="center" vertical="top"/>
      <protection locked="0"/>
    </xf>
    <xf numFmtId="0" fontId="38" fillId="37" borderId="9" xfId="165" applyFont="1" applyBorder="1" applyAlignment="1" applyProtection="1">
      <alignment horizontal="center" vertical="center" wrapText="1"/>
    </xf>
    <xf numFmtId="0" fontId="38" fillId="37" borderId="10" xfId="165" applyFont="1" applyBorder="1" applyAlignment="1" applyProtection="1">
      <alignment horizontal="center" vertical="center" wrapText="1"/>
    </xf>
    <xf numFmtId="0" fontId="7" fillId="40" borderId="38" xfId="0" applyFont="1" applyFill="1" applyBorder="1" applyAlignment="1" applyProtection="1">
      <alignment horizontal="center" vertical="center" wrapText="1"/>
      <protection locked="0"/>
    </xf>
    <xf numFmtId="49" fontId="7" fillId="0" borderId="38" xfId="0" applyNumberFormat="1" applyFont="1" applyBorder="1" applyAlignment="1">
      <alignment horizontal="center"/>
    </xf>
    <xf numFmtId="49" fontId="7" fillId="40" borderId="38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top"/>
      <protection locked="0"/>
    </xf>
    <xf numFmtId="0" fontId="38" fillId="37" borderId="9" xfId="165" applyFont="1" applyBorder="1" applyAlignment="1">
      <alignment horizontal="center" vertical="center" wrapText="1"/>
    </xf>
    <xf numFmtId="0" fontId="38" fillId="37" borderId="10" xfId="165" applyFont="1" applyBorder="1" applyAlignment="1">
      <alignment horizontal="center" vertical="center" wrapText="1"/>
    </xf>
    <xf numFmtId="0" fontId="38" fillId="37" borderId="11" xfId="165" applyFont="1" applyBorder="1" applyAlignment="1">
      <alignment horizontal="center" vertical="center" wrapText="1"/>
    </xf>
    <xf numFmtId="0" fontId="7" fillId="0" borderId="38" xfId="0" applyFont="1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horizontal="center"/>
      <protection locked="0"/>
    </xf>
    <xf numFmtId="0" fontId="6" fillId="0" borderId="40" xfId="18" applyFont="1" applyFill="1" applyBorder="1" applyAlignment="1">
      <alignment horizontal="center" vertical="center"/>
    </xf>
    <xf numFmtId="0" fontId="6" fillId="0" borderId="41" xfId="18" applyFont="1" applyFill="1" applyBorder="1" applyAlignment="1">
      <alignment horizontal="center" vertical="center"/>
    </xf>
    <xf numFmtId="0" fontId="6" fillId="0" borderId="42" xfId="18" applyFont="1" applyFill="1" applyBorder="1" applyAlignment="1">
      <alignment horizontal="center" vertical="center"/>
    </xf>
    <xf numFmtId="14" fontId="7" fillId="0" borderId="38" xfId="0" applyNumberFormat="1" applyFont="1" applyBorder="1" applyAlignment="1" applyProtection="1">
      <alignment horizontal="center" vertical="top"/>
      <protection locked="0"/>
    </xf>
    <xf numFmtId="179" fontId="7" fillId="0" borderId="38" xfId="0" applyNumberFormat="1" applyFont="1" applyBorder="1" applyAlignment="1" applyProtection="1">
      <alignment horizont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4" fontId="7" fillId="0" borderId="38" xfId="0" applyNumberFormat="1" applyFont="1" applyBorder="1" applyAlignment="1" applyProtection="1">
      <alignment horizontal="center" vertical="center"/>
      <protection locked="0"/>
    </xf>
    <xf numFmtId="44" fontId="7" fillId="0" borderId="9" xfId="2" applyFont="1" applyFill="1" applyBorder="1" applyAlignment="1" applyProtection="1">
      <alignment horizontal="center" vertical="center"/>
      <protection locked="0"/>
    </xf>
    <xf numFmtId="44" fontId="7" fillId="0" borderId="11" xfId="2" applyFont="1" applyFill="1" applyBorder="1" applyAlignment="1" applyProtection="1">
      <alignment horizontal="center" vertical="center"/>
      <protection locked="0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0" xfId="4" applyFont="1" applyFill="1" applyBorder="1" applyAlignment="1">
      <alignment horizontal="center" vertical="center"/>
    </xf>
    <xf numFmtId="0" fontId="6" fillId="0" borderId="41" xfId="4" applyFont="1" applyFill="1" applyBorder="1" applyAlignment="1">
      <alignment horizontal="center" vertical="center"/>
    </xf>
    <xf numFmtId="0" fontId="6" fillId="0" borderId="42" xfId="4" applyFont="1" applyFill="1" applyBorder="1" applyAlignment="1">
      <alignment horizontal="center" vertical="center"/>
    </xf>
    <xf numFmtId="0" fontId="6" fillId="0" borderId="40" xfId="164" applyFont="1" applyFill="1" applyBorder="1" applyAlignment="1">
      <alignment horizontal="center" vertical="center"/>
    </xf>
    <xf numFmtId="0" fontId="6" fillId="0" borderId="41" xfId="164" applyFont="1" applyFill="1" applyBorder="1" applyAlignment="1">
      <alignment horizontal="center" vertical="center"/>
    </xf>
    <xf numFmtId="0" fontId="6" fillId="0" borderId="42" xfId="164" applyFont="1" applyFill="1" applyBorder="1" applyAlignment="1">
      <alignment horizontal="center" vertical="center"/>
    </xf>
    <xf numFmtId="0" fontId="6" fillId="0" borderId="7" xfId="164" applyFont="1" applyFill="1" applyBorder="1" applyAlignment="1">
      <alignment horizontal="center" vertical="center"/>
    </xf>
    <xf numFmtId="0" fontId="8" fillId="0" borderId="67" xfId="164" applyFont="1" applyFill="1" applyBorder="1" applyAlignment="1">
      <alignment horizontal="center" vertical="center"/>
    </xf>
    <xf numFmtId="0" fontId="8" fillId="0" borderId="69" xfId="164" applyFont="1" applyFill="1" applyBorder="1" applyAlignment="1">
      <alignment horizontal="center" vertical="center"/>
    </xf>
    <xf numFmtId="0" fontId="8" fillId="0" borderId="70" xfId="164" applyFont="1" applyFill="1" applyBorder="1" applyAlignment="1">
      <alignment horizontal="center" vertical="center"/>
    </xf>
    <xf numFmtId="0" fontId="6" fillId="0" borderId="6" xfId="164" applyFont="1" applyFill="1" applyBorder="1" applyAlignment="1">
      <alignment horizontal="center" vertical="center"/>
    </xf>
    <xf numFmtId="0" fontId="6" fillId="0" borderId="3" xfId="164" applyFont="1" applyFill="1" applyBorder="1" applyAlignment="1">
      <alignment horizontal="center" vertical="center"/>
    </xf>
    <xf numFmtId="0" fontId="8" fillId="0" borderId="3" xfId="164" applyFont="1" applyFill="1" applyBorder="1" applyAlignment="1">
      <alignment horizontal="center" vertical="center"/>
    </xf>
    <xf numFmtId="0" fontId="8" fillId="0" borderId="7" xfId="164" applyFont="1" applyFill="1" applyBorder="1" applyAlignment="1">
      <alignment horizontal="center" vertical="center"/>
    </xf>
    <xf numFmtId="0" fontId="8" fillId="0" borderId="6" xfId="164" applyFont="1" applyFill="1" applyBorder="1" applyAlignment="1">
      <alignment horizontal="center" vertical="center"/>
    </xf>
    <xf numFmtId="0" fontId="8" fillId="0" borderId="3" xfId="13" applyFont="1" applyFill="1" applyBorder="1" applyAlignment="1">
      <alignment horizontal="center" vertical="center"/>
    </xf>
    <xf numFmtId="0" fontId="8" fillId="0" borderId="7" xfId="13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horizontal="center" vertical="center"/>
    </xf>
    <xf numFmtId="0" fontId="8" fillId="0" borderId="40" xfId="13" applyFont="1" applyFill="1" applyBorder="1" applyAlignment="1">
      <alignment horizontal="center" vertical="center"/>
    </xf>
    <xf numFmtId="0" fontId="8" fillId="0" borderId="41" xfId="13" applyFont="1" applyFill="1" applyBorder="1" applyAlignment="1">
      <alignment horizontal="center" vertical="center"/>
    </xf>
    <xf numFmtId="0" fontId="8" fillId="0" borderId="42" xfId="13" applyFont="1" applyFill="1" applyBorder="1" applyAlignment="1">
      <alignment horizontal="center" vertical="center"/>
    </xf>
    <xf numFmtId="44" fontId="11" fillId="37" borderId="9" xfId="165" applyNumberFormat="1" applyFont="1" applyBorder="1" applyAlignment="1">
      <alignment horizontal="left"/>
    </xf>
    <xf numFmtId="44" fontId="11" fillId="37" borderId="10" xfId="165" applyNumberFormat="1" applyFont="1" applyBorder="1" applyAlignment="1">
      <alignment horizontal="left"/>
    </xf>
    <xf numFmtId="44" fontId="11" fillId="37" borderId="11" xfId="165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6" borderId="3" xfId="12" applyFont="1" applyFill="1" applyBorder="1" applyAlignment="1">
      <alignment horizontal="center"/>
    </xf>
    <xf numFmtId="0" fontId="9" fillId="6" borderId="4" xfId="12" applyFont="1" applyFill="1" applyBorder="1" applyAlignment="1">
      <alignment horizontal="center"/>
    </xf>
    <xf numFmtId="0" fontId="9" fillId="6" borderId="5" xfId="12" applyFont="1" applyFill="1" applyBorder="1" applyAlignment="1">
      <alignment horizontal="center"/>
    </xf>
    <xf numFmtId="0" fontId="10" fillId="6" borderId="6" xfId="12" applyFont="1" applyFill="1" applyBorder="1" applyAlignment="1">
      <alignment horizontal="center"/>
    </xf>
    <xf numFmtId="0" fontId="10" fillId="6" borderId="2" xfId="12" applyFont="1" applyFill="1" applyBorder="1" applyAlignment="1">
      <alignment horizontal="center"/>
    </xf>
    <xf numFmtId="0" fontId="10" fillId="6" borderId="8" xfId="12" applyFont="1" applyFill="1" applyBorder="1" applyAlignment="1">
      <alignment horizontal="center"/>
    </xf>
    <xf numFmtId="49" fontId="7" fillId="4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0" fillId="6" borderId="7" xfId="12" applyFont="1" applyFill="1" applyBorder="1" applyAlignment="1">
      <alignment horizontal="center"/>
    </xf>
    <xf numFmtId="0" fontId="10" fillId="6" borderId="0" xfId="12" applyFont="1" applyFill="1" applyAlignment="1">
      <alignment horizontal="center"/>
    </xf>
    <xf numFmtId="0" fontId="10" fillId="6" borderId="1" xfId="12" applyFont="1" applyFill="1" applyBorder="1" applyAlignment="1">
      <alignment horizontal="center"/>
    </xf>
    <xf numFmtId="0" fontId="6" fillId="0" borderId="3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62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0" fillId="0" borderId="78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167" fontId="0" fillId="0" borderId="76" xfId="0" applyNumberFormat="1" applyBorder="1" applyAlignment="1">
      <alignment horizontal="center"/>
    </xf>
    <xf numFmtId="167" fontId="0" fillId="0" borderId="75" xfId="0" applyNumberFormat="1" applyBorder="1" applyAlignment="1">
      <alignment horizontal="center"/>
    </xf>
    <xf numFmtId="0" fontId="6" fillId="0" borderId="52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52" xfId="1" applyNumberFormat="1" applyFont="1" applyBorder="1" applyAlignment="1" applyProtection="1">
      <alignment horizontal="center" vertical="center" wrapText="1"/>
    </xf>
    <xf numFmtId="49" fontId="7" fillId="40" borderId="5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2" applyNumberFormat="1" applyFont="1" applyBorder="1" applyAlignment="1" applyProtection="1">
      <alignment horizontal="center" vertical="center" wrapText="1"/>
    </xf>
    <xf numFmtId="0" fontId="7" fillId="0" borderId="1" xfId="2" applyNumberFormat="1" applyFont="1" applyBorder="1" applyAlignment="1" applyProtection="1">
      <alignment horizontal="center" vertical="center"/>
    </xf>
    <xf numFmtId="0" fontId="11" fillId="37" borderId="38" xfId="165" applyFont="1" applyBorder="1" applyAlignment="1" applyProtection="1">
      <alignment horizontal="center" vertical="center" wrapText="1"/>
    </xf>
    <xf numFmtId="0" fontId="11" fillId="37" borderId="39" xfId="165" applyFont="1" applyBorder="1" applyAlignment="1" applyProtection="1">
      <alignment horizontal="center" vertical="center" wrapText="1"/>
    </xf>
    <xf numFmtId="0" fontId="11" fillId="37" borderId="55" xfId="165" applyFont="1" applyBorder="1" applyAlignment="1" applyProtection="1">
      <alignment horizontal="center" vertical="center" wrapText="1"/>
    </xf>
    <xf numFmtId="0" fontId="11" fillId="37" borderId="48" xfId="165" applyFont="1" applyBorder="1" applyAlignment="1" applyProtection="1">
      <alignment horizontal="center" vertical="center" wrapText="1"/>
    </xf>
    <xf numFmtId="0" fontId="8" fillId="5" borderId="39" xfId="13" applyFont="1" applyFill="1" applyBorder="1" applyAlignment="1" applyProtection="1">
      <alignment horizontal="center" vertical="center"/>
    </xf>
    <xf numFmtId="0" fontId="8" fillId="5" borderId="48" xfId="13" applyFont="1" applyFill="1" applyBorder="1" applyAlignment="1" applyProtection="1">
      <alignment horizontal="center" vertical="center"/>
    </xf>
    <xf numFmtId="0" fontId="2" fillId="37" borderId="39" xfId="165" applyBorder="1" applyAlignment="1" applyProtection="1">
      <alignment horizontal="center" vertical="center"/>
    </xf>
    <xf numFmtId="0" fontId="2" fillId="37" borderId="55" xfId="165" applyBorder="1" applyAlignment="1" applyProtection="1">
      <alignment horizontal="center" vertical="center"/>
    </xf>
    <xf numFmtId="0" fontId="2" fillId="37" borderId="48" xfId="165" applyBorder="1" applyAlignment="1" applyProtection="1">
      <alignment horizontal="center" vertical="center"/>
    </xf>
    <xf numFmtId="0" fontId="11" fillId="37" borderId="39" xfId="165" applyFont="1" applyBorder="1" applyAlignment="1" applyProtection="1">
      <alignment horizontal="center" vertical="center"/>
    </xf>
    <xf numFmtId="0" fontId="11" fillId="37" borderId="55" xfId="165" applyFont="1" applyBorder="1" applyAlignment="1" applyProtection="1">
      <alignment horizontal="center" vertical="center"/>
    </xf>
    <xf numFmtId="0" fontId="11" fillId="37" borderId="48" xfId="165" applyFont="1" applyBorder="1" applyAlignment="1" applyProtection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79" xfId="0" applyFont="1" applyFill="1" applyBorder="1" applyAlignment="1" applyProtection="1">
      <alignment horizontal="center" vertical="center"/>
      <protection locked="0"/>
    </xf>
    <xf numFmtId="0" fontId="0" fillId="40" borderId="47" xfId="0" applyFont="1" applyFill="1" applyBorder="1" applyAlignment="1" applyProtection="1">
      <alignment horizontal="center" vertical="center"/>
      <protection locked="0"/>
    </xf>
    <xf numFmtId="0" fontId="0" fillId="40" borderId="36" xfId="0" applyFont="1" applyFill="1" applyBorder="1" applyAlignment="1" applyProtection="1">
      <alignment horizontal="center" vertical="center"/>
      <protection locked="0"/>
    </xf>
    <xf numFmtId="0" fontId="0" fillId="40" borderId="37" xfId="0" applyFont="1" applyFill="1" applyBorder="1" applyAlignment="1" applyProtection="1">
      <alignment horizontal="center" vertical="center"/>
      <protection locked="0"/>
    </xf>
    <xf numFmtId="0" fontId="0" fillId="40" borderId="2" xfId="0" applyFont="1" applyFill="1" applyBorder="1" applyAlignment="1" applyProtection="1">
      <alignment horizontal="center" vertical="center"/>
      <protection locked="0"/>
    </xf>
    <xf numFmtId="0" fontId="0" fillId="40" borderId="8" xfId="0" applyFont="1" applyFill="1" applyBorder="1" applyAlignment="1" applyProtection="1">
      <alignment horizontal="center" vertical="center"/>
      <protection locked="0"/>
    </xf>
  </cellXfs>
  <cellStyles count="174">
    <cellStyle name="20% - Ênfase1" xfId="18" builtinId="30"/>
    <cellStyle name="20% - Ênfase1 2" xfId="118" xr:uid="{00000000-0005-0000-0000-000001000000}"/>
    <cellStyle name="20% - Ênfase2 2" xfId="119" xr:uid="{00000000-0005-0000-0000-000002000000}"/>
    <cellStyle name="20% - Ênfase3 2" xfId="120" xr:uid="{00000000-0005-0000-0000-000003000000}"/>
    <cellStyle name="20% - Ênfase4 2" xfId="121" xr:uid="{00000000-0005-0000-0000-000004000000}"/>
    <cellStyle name="20% - Ênfase5" xfId="171" builtinId="46"/>
    <cellStyle name="20% - Ênfase5 2" xfId="122" xr:uid="{00000000-0005-0000-0000-000006000000}"/>
    <cellStyle name="20% - Ênfase6" xfId="20" builtinId="50"/>
    <cellStyle name="20% - Ênfase6 2" xfId="123" xr:uid="{00000000-0005-0000-0000-000008000000}"/>
    <cellStyle name="40% - Ênfase1" xfId="4" builtinId="31"/>
    <cellStyle name="40% - Ênfase1 2" xfId="124" xr:uid="{00000000-0005-0000-0000-00000A000000}"/>
    <cellStyle name="40% - Ênfase2 2" xfId="125" xr:uid="{00000000-0005-0000-0000-00000B000000}"/>
    <cellStyle name="40% - Ênfase3 2" xfId="126" xr:uid="{00000000-0005-0000-0000-00000C000000}"/>
    <cellStyle name="40% - Ênfase4 2" xfId="127" xr:uid="{00000000-0005-0000-0000-00000D000000}"/>
    <cellStyle name="40% - Ênfase5" xfId="5" builtinId="47"/>
    <cellStyle name="40% - Ênfase5 2" xfId="128" xr:uid="{00000000-0005-0000-0000-00000F000000}"/>
    <cellStyle name="40% - Ênfase6" xfId="21" builtinId="51"/>
    <cellStyle name="40% - Ênfase6 2" xfId="129" xr:uid="{00000000-0005-0000-0000-000011000000}"/>
    <cellStyle name="60% - Ênfase1" xfId="164" builtinId="32"/>
    <cellStyle name="60% - Ênfase1 2" xfId="130" xr:uid="{00000000-0005-0000-0000-000013000000}"/>
    <cellStyle name="60% - Ênfase2 2" xfId="131" xr:uid="{00000000-0005-0000-0000-000014000000}"/>
    <cellStyle name="60% - Ênfase3 2" xfId="132" xr:uid="{00000000-0005-0000-0000-000015000000}"/>
    <cellStyle name="60% - Ênfase3 3" xfId="160" xr:uid="{00000000-0005-0000-0000-000016000000}"/>
    <cellStyle name="60% - Ênfase4" xfId="14" builtinId="44"/>
    <cellStyle name="60% - Ênfase4 2" xfId="133" xr:uid="{00000000-0005-0000-0000-000018000000}"/>
    <cellStyle name="60% - Ênfase5" xfId="172" builtinId="48"/>
    <cellStyle name="60% - Ênfase5 2" xfId="134" xr:uid="{00000000-0005-0000-0000-00001A000000}"/>
    <cellStyle name="60% - Ênfase6" xfId="15" builtinId="52"/>
    <cellStyle name="60% - Ênfase6 2" xfId="135" xr:uid="{00000000-0005-0000-0000-00001C000000}"/>
    <cellStyle name="Bom 2" xfId="136" xr:uid="{00000000-0005-0000-0000-00001D000000}"/>
    <cellStyle name="Cálculo 2" xfId="137" xr:uid="{00000000-0005-0000-0000-00001E000000}"/>
    <cellStyle name="Célula de Verificação 2" xfId="138" xr:uid="{00000000-0005-0000-0000-00001F000000}"/>
    <cellStyle name="Célula Vinculada 2" xfId="139" xr:uid="{00000000-0005-0000-0000-000020000000}"/>
    <cellStyle name="Ênfase1" xfId="13" builtinId="29"/>
    <cellStyle name="Ênfase1 2" xfId="140" xr:uid="{00000000-0005-0000-0000-000022000000}"/>
    <cellStyle name="Ênfase2 2" xfId="141" xr:uid="{00000000-0005-0000-0000-000023000000}"/>
    <cellStyle name="Ênfase3 2" xfId="142" xr:uid="{00000000-0005-0000-0000-000024000000}"/>
    <cellStyle name="Ênfase4 2" xfId="143" xr:uid="{00000000-0005-0000-0000-000025000000}"/>
    <cellStyle name="Ênfase5" xfId="165" builtinId="45"/>
    <cellStyle name="Ênfase5 2" xfId="144" xr:uid="{00000000-0005-0000-0000-000027000000}"/>
    <cellStyle name="Ênfase6" xfId="19" builtinId="49"/>
    <cellStyle name="Ênfase6 2" xfId="145" xr:uid="{00000000-0005-0000-0000-000029000000}"/>
    <cellStyle name="Entrada 2" xfId="146" xr:uid="{00000000-0005-0000-0000-00002A000000}"/>
    <cellStyle name="Euro" xfId="24" xr:uid="{00000000-0005-0000-0000-00002B000000}"/>
    <cellStyle name="Excel Built-in Comma" xfId="36" xr:uid="{00000000-0005-0000-0000-00002C000000}"/>
    <cellStyle name="Excel Built-in Currency" xfId="37" xr:uid="{00000000-0005-0000-0000-00002D000000}"/>
    <cellStyle name="Excel Built-in Normal" xfId="38" xr:uid="{00000000-0005-0000-0000-00002E000000}"/>
    <cellStyle name="Excel Built-in Percent" xfId="39" xr:uid="{00000000-0005-0000-0000-00002F000000}"/>
    <cellStyle name="Heading" xfId="40" xr:uid="{00000000-0005-0000-0000-000030000000}"/>
    <cellStyle name="Heading1" xfId="41" xr:uid="{00000000-0005-0000-0000-000031000000}"/>
    <cellStyle name="Hiperlink" xfId="173" builtinId="8"/>
    <cellStyle name="Incorreto 2" xfId="147" xr:uid="{00000000-0005-0000-0000-000033000000}"/>
    <cellStyle name="Moeda" xfId="2" builtinId="4"/>
    <cellStyle name="Moeda 10" xfId="115" xr:uid="{00000000-0005-0000-0000-000035000000}"/>
    <cellStyle name="Moeda 11" xfId="49" xr:uid="{00000000-0005-0000-0000-000036000000}"/>
    <cellStyle name="Moeda 12" xfId="166" xr:uid="{00000000-0005-0000-0000-000037000000}"/>
    <cellStyle name="Moeda 2" xfId="8" xr:uid="{00000000-0005-0000-0000-000038000000}"/>
    <cellStyle name="Moeda 2 2" xfId="58" xr:uid="{00000000-0005-0000-0000-000039000000}"/>
    <cellStyle name="Moeda 2 3" xfId="90" xr:uid="{00000000-0005-0000-0000-00003A000000}"/>
    <cellStyle name="Moeda 2 4" xfId="53" xr:uid="{00000000-0005-0000-0000-00003B000000}"/>
    <cellStyle name="Moeda 2 5" xfId="50" xr:uid="{00000000-0005-0000-0000-00003C000000}"/>
    <cellStyle name="Moeda 2 6" xfId="162" xr:uid="{00000000-0005-0000-0000-00003D000000}"/>
    <cellStyle name="Moeda 2 7" xfId="158" xr:uid="{00000000-0005-0000-0000-00003E000000}"/>
    <cellStyle name="Moeda 3" xfId="25" xr:uid="{00000000-0005-0000-0000-00003F000000}"/>
    <cellStyle name="Moeda 3 2" xfId="46" xr:uid="{00000000-0005-0000-0000-000040000000}"/>
    <cellStyle name="Moeda 3 2 2" xfId="101" xr:uid="{00000000-0005-0000-0000-000041000000}"/>
    <cellStyle name="Moeda 3 2 3" xfId="57" xr:uid="{00000000-0005-0000-0000-000042000000}"/>
    <cellStyle name="Moeda 3 3" xfId="92" xr:uid="{00000000-0005-0000-0000-000043000000}"/>
    <cellStyle name="Moeda 3 4" xfId="103" xr:uid="{00000000-0005-0000-0000-000044000000}"/>
    <cellStyle name="Moeda 3 5" xfId="64" xr:uid="{00000000-0005-0000-0000-000045000000}"/>
    <cellStyle name="Moeda 4" xfId="17" xr:uid="{00000000-0005-0000-0000-000046000000}"/>
    <cellStyle name="Moeda 4 2" xfId="88" xr:uid="{00000000-0005-0000-0000-000047000000}"/>
    <cellStyle name="Moeda 4 3" xfId="65" xr:uid="{00000000-0005-0000-0000-000048000000}"/>
    <cellStyle name="Moeda 5" xfId="32" xr:uid="{00000000-0005-0000-0000-000049000000}"/>
    <cellStyle name="Moeda 5 2" xfId="66" xr:uid="{00000000-0005-0000-0000-00004A000000}"/>
    <cellStyle name="Moeda 6" xfId="67" xr:uid="{00000000-0005-0000-0000-00004B000000}"/>
    <cellStyle name="Moeda 7" xfId="52" xr:uid="{00000000-0005-0000-0000-00004C000000}"/>
    <cellStyle name="Moeda 8" xfId="91" xr:uid="{00000000-0005-0000-0000-00004D000000}"/>
    <cellStyle name="Moeda 8 2" xfId="114" xr:uid="{00000000-0005-0000-0000-00004E000000}"/>
    <cellStyle name="Moeda 9" xfId="98" xr:uid="{00000000-0005-0000-0000-00004F000000}"/>
    <cellStyle name="Neutra 2" xfId="148" xr:uid="{00000000-0005-0000-0000-000050000000}"/>
    <cellStyle name="Normal" xfId="0" builtinId="0"/>
    <cellStyle name="Normal 10" xfId="93" xr:uid="{00000000-0005-0000-0000-000052000000}"/>
    <cellStyle name="Normal 2" xfId="6" xr:uid="{00000000-0005-0000-0000-000053000000}"/>
    <cellStyle name="Normal 2 2" xfId="11" xr:uid="{00000000-0005-0000-0000-000054000000}"/>
    <cellStyle name="Normal 2 2 2" xfId="29" xr:uid="{00000000-0005-0000-0000-000055000000}"/>
    <cellStyle name="Normal 2 2 3" xfId="169" xr:uid="{00000000-0005-0000-0000-000056000000}"/>
    <cellStyle name="Normal 2 3" xfId="35" xr:uid="{00000000-0005-0000-0000-000057000000}"/>
    <cellStyle name="Normal 2 3 2" xfId="117" xr:uid="{00000000-0005-0000-0000-000058000000}"/>
    <cellStyle name="Normal 2 4" xfId="167" xr:uid="{00000000-0005-0000-0000-000059000000}"/>
    <cellStyle name="Normal 3" xfId="22" xr:uid="{00000000-0005-0000-0000-00005A000000}"/>
    <cellStyle name="Normal 3 2" xfId="45" xr:uid="{00000000-0005-0000-0000-00005B000000}"/>
    <cellStyle name="Normal 3 2 2" xfId="63" xr:uid="{00000000-0005-0000-0000-00005C000000}"/>
    <cellStyle name="Normal 3 3" xfId="68" xr:uid="{00000000-0005-0000-0000-00005D000000}"/>
    <cellStyle name="Normal 4" xfId="30" xr:uid="{00000000-0005-0000-0000-00005E000000}"/>
    <cellStyle name="Normal 4 2" xfId="69" xr:uid="{00000000-0005-0000-0000-00005F000000}"/>
    <cellStyle name="Normal 5" xfId="12" xr:uid="{00000000-0005-0000-0000-000060000000}"/>
    <cellStyle name="Normal 5 2" xfId="42" xr:uid="{00000000-0005-0000-0000-000061000000}"/>
    <cellStyle name="Normal 5 3" xfId="34" xr:uid="{00000000-0005-0000-0000-000062000000}"/>
    <cellStyle name="Normal 5 4" xfId="70" xr:uid="{00000000-0005-0000-0000-000063000000}"/>
    <cellStyle name="Normal 6" xfId="71" xr:uid="{00000000-0005-0000-0000-000064000000}"/>
    <cellStyle name="Normal 7" xfId="72" xr:uid="{00000000-0005-0000-0000-000065000000}"/>
    <cellStyle name="Normal 8" xfId="60" xr:uid="{00000000-0005-0000-0000-000066000000}"/>
    <cellStyle name="Normal 9" xfId="51" xr:uid="{00000000-0005-0000-0000-000067000000}"/>
    <cellStyle name="Normal 9 2" xfId="99" xr:uid="{00000000-0005-0000-0000-000068000000}"/>
    <cellStyle name="Nota 2" xfId="149" xr:uid="{00000000-0005-0000-0000-000069000000}"/>
    <cellStyle name="Porcentagem" xfId="3" builtinId="5"/>
    <cellStyle name="Porcentagem 2" xfId="9" xr:uid="{00000000-0005-0000-0000-00006B000000}"/>
    <cellStyle name="Porcentagem 2 2" xfId="27" xr:uid="{00000000-0005-0000-0000-00006C000000}"/>
    <cellStyle name="Porcentagem 2 3" xfId="59" xr:uid="{00000000-0005-0000-0000-00006D000000}"/>
    <cellStyle name="Porcentagem 2 4" xfId="54" xr:uid="{00000000-0005-0000-0000-00006E000000}"/>
    <cellStyle name="Porcentagem 2 5" xfId="95" xr:uid="{00000000-0005-0000-0000-00006F000000}"/>
    <cellStyle name="Porcentagem 3" xfId="26" xr:uid="{00000000-0005-0000-0000-000070000000}"/>
    <cellStyle name="Porcentagem 3 2" xfId="61" xr:uid="{00000000-0005-0000-0000-000071000000}"/>
    <cellStyle name="Porcentagem 3 3" xfId="73" xr:uid="{00000000-0005-0000-0000-000072000000}"/>
    <cellStyle name="Porcentagem 4" xfId="16" xr:uid="{00000000-0005-0000-0000-000073000000}"/>
    <cellStyle name="Porcentagem 4 2" xfId="87" xr:uid="{00000000-0005-0000-0000-000074000000}"/>
    <cellStyle name="Porcentagem 4 3" xfId="74" xr:uid="{00000000-0005-0000-0000-000075000000}"/>
    <cellStyle name="Porcentagem 5" xfId="33" xr:uid="{00000000-0005-0000-0000-000076000000}"/>
    <cellStyle name="Porcentagem 5 2" xfId="56" xr:uid="{00000000-0005-0000-0000-000077000000}"/>
    <cellStyle name="Result" xfId="43" xr:uid="{00000000-0005-0000-0000-000078000000}"/>
    <cellStyle name="Result2" xfId="44" xr:uid="{00000000-0005-0000-0000-000079000000}"/>
    <cellStyle name="Saída 2" xfId="150" xr:uid="{00000000-0005-0000-0000-00007A000000}"/>
    <cellStyle name="Separador de milhares 2" xfId="75" xr:uid="{00000000-0005-0000-0000-00007B000000}"/>
    <cellStyle name="Separador de milhares 2 2" xfId="104" xr:uid="{00000000-0005-0000-0000-00007C000000}"/>
    <cellStyle name="Separador de milhares 2 2 2" xfId="170" xr:uid="{00000000-0005-0000-0000-00007D000000}"/>
    <cellStyle name="Separador de milhares 2 3" xfId="168" xr:uid="{00000000-0005-0000-0000-00007E000000}"/>
    <cellStyle name="Separador de milhares 3" xfId="48" xr:uid="{00000000-0005-0000-0000-00007F000000}"/>
    <cellStyle name="Separador de milhares 3 2" xfId="89" xr:uid="{00000000-0005-0000-0000-000080000000}"/>
    <cellStyle name="Separador de milhares 3 2 2" xfId="113" xr:uid="{00000000-0005-0000-0000-000081000000}"/>
    <cellStyle name="Separador de milhares 3 3" xfId="76" xr:uid="{00000000-0005-0000-0000-000082000000}"/>
    <cellStyle name="Separador de milhares 3 3 2" xfId="105" xr:uid="{00000000-0005-0000-0000-000083000000}"/>
    <cellStyle name="Separador de milhares 3 4" xfId="97" xr:uid="{00000000-0005-0000-0000-000084000000}"/>
    <cellStyle name="Separador de milhares 4" xfId="77" xr:uid="{00000000-0005-0000-0000-000085000000}"/>
    <cellStyle name="Separador de milhares 4 2" xfId="106" xr:uid="{00000000-0005-0000-0000-000086000000}"/>
    <cellStyle name="Separador de milhares 5" xfId="78" xr:uid="{00000000-0005-0000-0000-000087000000}"/>
    <cellStyle name="Separador de milhares 5 2" xfId="107" xr:uid="{00000000-0005-0000-0000-000088000000}"/>
    <cellStyle name="Texto de Aviso 2" xfId="151" xr:uid="{00000000-0005-0000-0000-000089000000}"/>
    <cellStyle name="Texto Explicativo 2" xfId="152" xr:uid="{00000000-0005-0000-0000-00008A000000}"/>
    <cellStyle name="Título 1 1" xfId="79" xr:uid="{00000000-0005-0000-0000-00008B000000}"/>
    <cellStyle name="Título 1 1 1" xfId="80" xr:uid="{00000000-0005-0000-0000-00008C000000}"/>
    <cellStyle name="Título 2 2" xfId="153" xr:uid="{00000000-0005-0000-0000-00008D000000}"/>
    <cellStyle name="Título 3 2" xfId="154" xr:uid="{00000000-0005-0000-0000-00008E000000}"/>
    <cellStyle name="Título 4 2" xfId="155" xr:uid="{00000000-0005-0000-0000-00008F000000}"/>
    <cellStyle name="Título 5" xfId="81" xr:uid="{00000000-0005-0000-0000-000090000000}"/>
    <cellStyle name="Total 2" xfId="156" xr:uid="{00000000-0005-0000-0000-000091000000}"/>
    <cellStyle name="Vírgula" xfId="1" builtinId="3"/>
    <cellStyle name="Vírgula 10" xfId="94" xr:uid="{00000000-0005-0000-0000-000093000000}"/>
    <cellStyle name="Vírgula 2" xfId="7" xr:uid="{00000000-0005-0000-0000-000094000000}"/>
    <cellStyle name="Vírgula 2 2" xfId="10" xr:uid="{00000000-0005-0000-0000-000095000000}"/>
    <cellStyle name="Vírgula 2 2 2" xfId="102" xr:uid="{00000000-0005-0000-0000-000096000000}"/>
    <cellStyle name="Vírgula 2 2 2 2" xfId="116" xr:uid="{00000000-0005-0000-0000-000097000000}"/>
    <cellStyle name="Vírgula 2 2 3" xfId="62" xr:uid="{00000000-0005-0000-0000-000098000000}"/>
    <cellStyle name="Vírgula 2 2 4" xfId="163" xr:uid="{00000000-0005-0000-0000-000099000000}"/>
    <cellStyle name="Vírgula 2 2 5" xfId="159" xr:uid="{00000000-0005-0000-0000-00009A000000}"/>
    <cellStyle name="Vírgula 2 3" xfId="108" xr:uid="{00000000-0005-0000-0000-00009B000000}"/>
    <cellStyle name="Vírgula 2 4" xfId="82" xr:uid="{00000000-0005-0000-0000-00009C000000}"/>
    <cellStyle name="Vírgula 2 5" xfId="161" xr:uid="{00000000-0005-0000-0000-00009D000000}"/>
    <cellStyle name="Vírgula 2 6" xfId="157" xr:uid="{00000000-0005-0000-0000-00009E000000}"/>
    <cellStyle name="Vírgula 3" xfId="23" xr:uid="{00000000-0005-0000-0000-00009F000000}"/>
    <cellStyle name="Vírgula 3 2" xfId="109" xr:uid="{00000000-0005-0000-0000-0000A0000000}"/>
    <cellStyle name="Vírgula 3 3" xfId="83" xr:uid="{00000000-0005-0000-0000-0000A1000000}"/>
    <cellStyle name="Vírgula 4" xfId="28" xr:uid="{00000000-0005-0000-0000-0000A2000000}"/>
    <cellStyle name="Vírgula 4 2" xfId="110" xr:uid="{00000000-0005-0000-0000-0000A3000000}"/>
    <cellStyle name="Vírgula 4 3" xfId="84" xr:uid="{00000000-0005-0000-0000-0000A4000000}"/>
    <cellStyle name="Vírgula 5" xfId="31" xr:uid="{00000000-0005-0000-0000-0000A5000000}"/>
    <cellStyle name="Vírgula 5 2" xfId="111" xr:uid="{00000000-0005-0000-0000-0000A6000000}"/>
    <cellStyle name="Vírgula 5 3" xfId="85" xr:uid="{00000000-0005-0000-0000-0000A7000000}"/>
    <cellStyle name="Vírgula 6" xfId="86" xr:uid="{00000000-0005-0000-0000-0000A8000000}"/>
    <cellStyle name="Vírgula 6 2" xfId="112" xr:uid="{00000000-0005-0000-0000-0000A9000000}"/>
    <cellStyle name="Vírgula 7" xfId="55" xr:uid="{00000000-0005-0000-0000-0000AA000000}"/>
    <cellStyle name="Vírgula 7 2" xfId="100" xr:uid="{00000000-0005-0000-0000-0000AB000000}"/>
    <cellStyle name="Vírgula 8" xfId="96" xr:uid="{00000000-0005-0000-0000-0000AC000000}"/>
    <cellStyle name="Vírgula 9" xfId="47" xr:uid="{00000000-0005-0000-0000-0000AD000000}"/>
  </cellStyles>
  <dxfs count="18">
    <dxf>
      <fill>
        <patternFill>
          <bgColor rgb="FFFFC000"/>
        </patternFill>
      </fill>
    </dxf>
    <dxf>
      <numFmt numFmtId="194" formatCode="#,##0.00\ &quot;m²&quot;"/>
    </dxf>
    <dxf>
      <numFmt numFmtId="194" formatCode="#,##0.00\ &quot;m²&quot;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firstButton="1" fmlaLink="$H$5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checked="Checked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H$5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161925</xdr:rowOff>
    </xdr:from>
    <xdr:to>
      <xdr:col>2</xdr:col>
      <xdr:colOff>762000</xdr:colOff>
      <xdr:row>2</xdr:row>
      <xdr:rowOff>47625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142875"/>
          <a:ext cx="800100" cy="7715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102534</xdr:colOff>
      <xdr:row>1</xdr:row>
      <xdr:rowOff>103093</xdr:rowOff>
    </xdr:from>
    <xdr:to>
      <xdr:col>2</xdr:col>
      <xdr:colOff>675608</xdr:colOff>
      <xdr:row>1</xdr:row>
      <xdr:rowOff>638174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159" y="245968"/>
          <a:ext cx="573074" cy="5350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264425</xdr:colOff>
          <xdr:row>2</xdr:row>
          <xdr:rowOff>238120</xdr:rowOff>
        </xdr:from>
        <xdr:to>
          <xdr:col>31</xdr:col>
          <xdr:colOff>369196</xdr:colOff>
          <xdr:row>9</xdr:row>
          <xdr:rowOff>121436</xdr:rowOff>
        </xdr:to>
        <xdr:grpSp>
          <xdr:nvGrpSpPr>
            <xdr:cNvPr id="4" name="Grup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6848581" y="1107276"/>
              <a:ext cx="1914521" cy="1478754"/>
              <a:chOff x="5896084" y="1152520"/>
              <a:chExt cx="2066919" cy="1476372"/>
            </a:xfrm>
          </xdr:grpSpPr>
          <xdr:grpSp>
            <xdr:nvGrpSpPr>
              <xdr:cNvPr id="5" name="Grupo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>
                <a:grpSpLocks/>
              </xdr:cNvGrpSpPr>
            </xdr:nvGrpSpPr>
            <xdr:grpSpPr>
              <a:xfrm>
                <a:off x="5896084" y="1152520"/>
                <a:ext cx="2066919" cy="1476372"/>
                <a:chOff x="9553683" y="1638295"/>
                <a:chExt cx="2285993" cy="1285872"/>
              </a:xfrm>
            </xdr:grpSpPr>
            <xdr:sp macro="" textlink="">
              <xdr:nvSpPr>
                <xdr:cNvPr id="30721" name="Group Box 1" hidden="1">
                  <a:extLst>
                    <a:ext uri="{63B3BB69-23CF-44E3-9099-C40C66FF867C}">
                      <a14:compatExt spid="_x0000_s30721"/>
                    </a:ext>
                    <a:ext uri="{FF2B5EF4-FFF2-40B4-BE49-F238E27FC236}">
                      <a16:creationId xmlns:a16="http://schemas.microsoft.com/office/drawing/2014/main" id="{00000000-0008-0000-0000-000001780000}"/>
                    </a:ext>
                  </a:extLst>
                </xdr:cNvPr>
                <xdr:cNvSpPr/>
              </xdr:nvSpPr>
              <xdr:spPr bwMode="auto">
                <a:xfrm>
                  <a:off x="9553683" y="1638295"/>
                  <a:ext cx="2285993" cy="1285872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Destacar campos editáveis</a:t>
                  </a:r>
                </a:p>
              </xdr:txBody>
            </xdr:sp>
            <xdr:sp macro="" textlink="">
              <xdr:nvSpPr>
                <xdr:cNvPr id="30722" name="Option Button 2" descr="Formação de Preços" hidden="1">
                  <a:extLst>
                    <a:ext uri="{63B3BB69-23CF-44E3-9099-C40C66FF867C}">
                      <a14:compatExt spid="_x0000_s30722"/>
                    </a:ext>
                    <a:ext uri="{FF2B5EF4-FFF2-40B4-BE49-F238E27FC236}">
                      <a16:creationId xmlns:a16="http://schemas.microsoft.com/office/drawing/2014/main" id="{00000000-0008-0000-0000-000002780000}"/>
                    </a:ext>
                  </a:extLst>
                </xdr:cNvPr>
                <xdr:cNvSpPr/>
              </xdr:nvSpPr>
              <xdr:spPr bwMode="auto">
                <a:xfrm>
                  <a:off x="9735556" y="1813437"/>
                  <a:ext cx="1438276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Formação de Preços</a:t>
                  </a:r>
                </a:p>
              </xdr:txBody>
            </xdr:sp>
            <xdr:sp macro="" textlink="">
              <xdr:nvSpPr>
                <xdr:cNvPr id="30723" name="Option Button 3" hidden="1">
                  <a:extLst>
                    <a:ext uri="{63B3BB69-23CF-44E3-9099-C40C66FF867C}">
                      <a14:compatExt spid="_x0000_s30723"/>
                    </a:ext>
                    <a:ext uri="{FF2B5EF4-FFF2-40B4-BE49-F238E27FC236}">
                      <a16:creationId xmlns:a16="http://schemas.microsoft.com/office/drawing/2014/main" id="{00000000-0008-0000-0000-000003780000}"/>
                    </a:ext>
                  </a:extLst>
                </xdr:cNvPr>
                <xdr:cNvSpPr/>
              </xdr:nvSpPr>
              <xdr:spPr bwMode="auto">
                <a:xfrm>
                  <a:off x="9735556" y="2084132"/>
                  <a:ext cx="1438276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Proponente</a:t>
                  </a:r>
                </a:p>
              </xdr:txBody>
            </xdr:sp>
            <xdr:sp macro="" textlink="">
              <xdr:nvSpPr>
                <xdr:cNvPr id="30724" name="Option Button 4" hidden="1">
                  <a:extLst>
                    <a:ext uri="{63B3BB69-23CF-44E3-9099-C40C66FF867C}">
                      <a14:compatExt spid="_x0000_s30724"/>
                    </a:ext>
                    <a:ext uri="{FF2B5EF4-FFF2-40B4-BE49-F238E27FC236}">
                      <a16:creationId xmlns:a16="http://schemas.microsoft.com/office/drawing/2014/main" id="{00000000-0008-0000-0000-000004780000}"/>
                    </a:ext>
                  </a:extLst>
                </xdr:cNvPr>
                <xdr:cNvSpPr/>
              </xdr:nvSpPr>
              <xdr:spPr bwMode="auto">
                <a:xfrm>
                  <a:off x="9732977" y="2634431"/>
                  <a:ext cx="1438276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Desativado</a:t>
                  </a:r>
                </a:p>
              </xdr:txBody>
            </xdr:sp>
          </xdr:grpSp>
          <xdr:sp macro="" textlink="">
            <xdr:nvSpPr>
              <xdr:cNvPr id="30725" name="Option Button 5" descr="Formação de Preços" hidden="1">
                <a:extLst>
                  <a:ext uri="{63B3BB69-23CF-44E3-9099-C40C66FF867C}">
                    <a14:compatExt spid="_x0000_s30725"/>
                  </a:ext>
                  <a:ext uri="{FF2B5EF4-FFF2-40B4-BE49-F238E27FC236}">
                    <a16:creationId xmlns:a16="http://schemas.microsoft.com/office/drawing/2014/main" id="{00000000-0008-0000-0000-000005780000}"/>
                  </a:ext>
                </a:extLst>
              </xdr:cNvPr>
              <xdr:cNvSpPr/>
            </xdr:nvSpPr>
            <xdr:spPr bwMode="auto">
              <a:xfrm>
                <a:off x="6057905" y="1981200"/>
                <a:ext cx="13049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Repactuação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161925</xdr:rowOff>
    </xdr:from>
    <xdr:to>
      <xdr:col>2</xdr:col>
      <xdr:colOff>762000</xdr:colOff>
      <xdr:row>2</xdr:row>
      <xdr:rowOff>47625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0" y="161925"/>
          <a:ext cx="771525" cy="8001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102534</xdr:colOff>
      <xdr:row>1</xdr:row>
      <xdr:rowOff>103093</xdr:rowOff>
    </xdr:from>
    <xdr:to>
      <xdr:col>2</xdr:col>
      <xdr:colOff>675608</xdr:colOff>
      <xdr:row>1</xdr:row>
      <xdr:rowOff>638174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059" y="293593"/>
          <a:ext cx="573074" cy="5350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323956</xdr:colOff>
          <xdr:row>2</xdr:row>
          <xdr:rowOff>238120</xdr:rowOff>
        </xdr:from>
        <xdr:to>
          <xdr:col>6</xdr:col>
          <xdr:colOff>1095477</xdr:colOff>
          <xdr:row>10</xdr:row>
          <xdr:rowOff>133342</xdr:rowOff>
        </xdr:to>
        <xdr:grpSp>
          <xdr:nvGrpSpPr>
            <xdr:cNvPr id="5" name="Grup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6848581" y="1107276"/>
              <a:ext cx="1914521" cy="1478754"/>
              <a:chOff x="5896084" y="1152520"/>
              <a:chExt cx="2066919" cy="1476372"/>
            </a:xfrm>
          </xdr:grpSpPr>
          <xdr:grpSp>
            <xdr:nvGrpSpPr>
              <xdr:cNvPr id="4" name="Grupo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pSpPr>
                <a:grpSpLocks/>
              </xdr:cNvGrpSpPr>
            </xdr:nvGrpSpPr>
            <xdr:grpSpPr>
              <a:xfrm>
                <a:off x="5896084" y="1152520"/>
                <a:ext cx="2066919" cy="1476372"/>
                <a:chOff x="9553683" y="1638295"/>
                <a:chExt cx="2285993" cy="1285872"/>
              </a:xfrm>
            </xdr:grpSpPr>
            <xdr:sp macro="" textlink="">
              <xdr:nvSpPr>
                <xdr:cNvPr id="19457" name="Group Box 1" hidden="1">
                  <a:extLst>
                    <a:ext uri="{63B3BB69-23CF-44E3-9099-C40C66FF867C}">
                      <a14:compatExt spid="_x0000_s19457"/>
                    </a:ext>
                    <a:ext uri="{FF2B5EF4-FFF2-40B4-BE49-F238E27FC236}">
                      <a16:creationId xmlns:a16="http://schemas.microsoft.com/office/drawing/2014/main" id="{00000000-0008-0000-0100-0000014C0000}"/>
                    </a:ext>
                  </a:extLst>
                </xdr:cNvPr>
                <xdr:cNvSpPr/>
              </xdr:nvSpPr>
              <xdr:spPr bwMode="auto">
                <a:xfrm>
                  <a:off x="9553683" y="1638295"/>
                  <a:ext cx="2285993" cy="1285872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Destacar campos editáveis</a:t>
                  </a:r>
                </a:p>
              </xdr:txBody>
            </xdr:sp>
            <xdr:sp macro="" textlink="">
              <xdr:nvSpPr>
                <xdr:cNvPr id="19458" name="Option Button 2" descr="Formação de Preços" hidden="1">
                  <a:extLst>
                    <a:ext uri="{63B3BB69-23CF-44E3-9099-C40C66FF867C}">
                      <a14:compatExt spid="_x0000_s19458"/>
                    </a:ext>
                    <a:ext uri="{FF2B5EF4-FFF2-40B4-BE49-F238E27FC236}">
                      <a16:creationId xmlns:a16="http://schemas.microsoft.com/office/drawing/2014/main" id="{00000000-0008-0000-0100-0000024C0000}"/>
                    </a:ext>
                  </a:extLst>
                </xdr:cNvPr>
                <xdr:cNvSpPr/>
              </xdr:nvSpPr>
              <xdr:spPr bwMode="auto">
                <a:xfrm>
                  <a:off x="9735556" y="1813437"/>
                  <a:ext cx="1438276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Formação de Preços</a:t>
                  </a:r>
                </a:p>
              </xdr:txBody>
            </xdr:sp>
            <xdr:sp macro="" textlink="">
              <xdr:nvSpPr>
                <xdr:cNvPr id="19459" name="Option Button 3" hidden="1">
                  <a:extLst>
                    <a:ext uri="{63B3BB69-23CF-44E3-9099-C40C66FF867C}">
                      <a14:compatExt spid="_x0000_s19459"/>
                    </a:ext>
                    <a:ext uri="{FF2B5EF4-FFF2-40B4-BE49-F238E27FC236}">
                      <a16:creationId xmlns:a16="http://schemas.microsoft.com/office/drawing/2014/main" id="{00000000-0008-0000-0100-0000034C0000}"/>
                    </a:ext>
                  </a:extLst>
                </xdr:cNvPr>
                <xdr:cNvSpPr/>
              </xdr:nvSpPr>
              <xdr:spPr bwMode="auto">
                <a:xfrm>
                  <a:off x="9735556" y="2084132"/>
                  <a:ext cx="1438276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Proponente</a:t>
                  </a:r>
                </a:p>
              </xdr:txBody>
            </xdr:sp>
            <xdr:sp macro="" textlink="">
              <xdr:nvSpPr>
                <xdr:cNvPr id="19460" name="Option Button 4" hidden="1">
                  <a:extLst>
                    <a:ext uri="{63B3BB69-23CF-44E3-9099-C40C66FF867C}">
                      <a14:compatExt spid="_x0000_s19460"/>
                    </a:ext>
                    <a:ext uri="{FF2B5EF4-FFF2-40B4-BE49-F238E27FC236}">
                      <a16:creationId xmlns:a16="http://schemas.microsoft.com/office/drawing/2014/main" id="{00000000-0008-0000-0100-0000044C0000}"/>
                    </a:ext>
                  </a:extLst>
                </xdr:cNvPr>
                <xdr:cNvSpPr/>
              </xdr:nvSpPr>
              <xdr:spPr bwMode="auto">
                <a:xfrm>
                  <a:off x="9732977" y="2634431"/>
                  <a:ext cx="1438276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Desativado</a:t>
                  </a:r>
                </a:p>
              </xdr:txBody>
            </xdr:sp>
          </xdr:grpSp>
          <xdr:sp macro="" textlink="">
            <xdr:nvSpPr>
              <xdr:cNvPr id="19466" name="Option Button 10" descr="Formação de Preços" hidden="1">
                <a:extLst>
                  <a:ext uri="{63B3BB69-23CF-44E3-9099-C40C66FF867C}">
                    <a14:compatExt spid="_x0000_s19466"/>
                  </a:ext>
                  <a:ext uri="{FF2B5EF4-FFF2-40B4-BE49-F238E27FC236}">
                    <a16:creationId xmlns:a16="http://schemas.microsoft.com/office/drawing/2014/main" id="{00000000-0008-0000-0100-00000A4C0000}"/>
                  </a:ext>
                </a:extLst>
              </xdr:cNvPr>
              <xdr:cNvSpPr/>
            </xdr:nvSpPr>
            <xdr:spPr bwMode="auto">
              <a:xfrm>
                <a:off x="6057905" y="1981200"/>
                <a:ext cx="13049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Repactuação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211231</xdr:colOff>
      <xdr:row>1</xdr:row>
      <xdr:rowOff>182656</xdr:rowOff>
    </xdr:from>
    <xdr:to>
      <xdr:col>1</xdr:col>
      <xdr:colOff>784305</xdr:colOff>
      <xdr:row>3</xdr:row>
      <xdr:rowOff>94689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006" y="268381"/>
          <a:ext cx="573074" cy="5121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.machry/Desktop/MODELO_PLANILHA_SINDASSE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.machry/Desktop/RP_de_Veiculos___6_Lugare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~1.MAC/AppData/Local/Temp/MicrosoftEdgeDownloads/5cd71449-7405-4df9-9971-082a2c36d510/PLANILHA_FORMACAO_PRE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tes"/>
      <sheetName val="Base Apoio - etapa 1"/>
      <sheetName val="PC 12x36 - DIURNO"/>
      <sheetName val="PC 12x36 - NOTURNO"/>
      <sheetName val="PC 44H-6D"/>
      <sheetName val="PC 44H-5D"/>
      <sheetName val="PC 36H"/>
      <sheetName val="PC 30H"/>
      <sheetName val="RESUMO"/>
      <sheetName val="Apoio - Regime de Trabalho"/>
      <sheetName val="Apoio - Posto"/>
    </sheetNames>
    <sheetDataSet>
      <sheetData sheetId="0" refreshError="1">
        <row r="1">
          <cell r="A1" t="str">
            <v>Sim</v>
          </cell>
          <cell r="C1">
            <v>0.1</v>
          </cell>
        </row>
        <row r="2">
          <cell r="A2" t="str">
            <v>Não</v>
          </cell>
          <cell r="C2">
            <v>0.2</v>
          </cell>
        </row>
        <row r="3">
          <cell r="C3">
            <v>0.4</v>
          </cell>
          <cell r="F3" t="str">
            <v>Unidade</v>
          </cell>
        </row>
        <row r="4">
          <cell r="F4" t="str">
            <v>Litro</v>
          </cell>
        </row>
        <row r="5">
          <cell r="F5" t="str">
            <v>Fardo</v>
          </cell>
        </row>
        <row r="6">
          <cell r="F6" t="str">
            <v>Galão</v>
          </cell>
        </row>
        <row r="7">
          <cell r="F7" t="str">
            <v>Lata</v>
          </cell>
        </row>
        <row r="8">
          <cell r="F8" t="str">
            <v>Pacote</v>
          </cell>
        </row>
        <row r="9">
          <cell r="F9" t="str">
            <v>Caixa</v>
          </cell>
        </row>
      </sheetData>
      <sheetData sheetId="1" refreshError="1">
        <row r="8">
          <cell r="G8" t="str">
            <v>SINDASSEIO</v>
          </cell>
        </row>
        <row r="20">
          <cell r="F20" t="str">
            <v>Lucro Presumido</v>
          </cell>
          <cell r="G20" t="str">
            <v>Lucro Real</v>
          </cell>
          <cell r="H20" t="str">
            <v>Simples Nacional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tes"/>
      <sheetName val="Base Apoio - etapa 1"/>
      <sheetName val="PC 220h-mes"/>
      <sheetName val="RESUMO"/>
    </sheetNames>
    <sheetDataSet>
      <sheetData sheetId="0">
        <row r="1">
          <cell r="A1" t="str">
            <v>Sim</v>
          </cell>
          <cell r="C1">
            <v>0.1</v>
          </cell>
        </row>
        <row r="2">
          <cell r="A2" t="str">
            <v>Não</v>
          </cell>
          <cell r="C2">
            <v>0.2</v>
          </cell>
        </row>
        <row r="3">
          <cell r="C3">
            <v>0.4</v>
          </cell>
        </row>
      </sheetData>
      <sheetData sheetId="1">
        <row r="20">
          <cell r="F20" t="str">
            <v>Lucro Presumido</v>
          </cell>
          <cell r="G20" t="str">
            <v>Lucro Real</v>
          </cell>
          <cell r="H20" t="str">
            <v>Simples Nacional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tes"/>
      <sheetName val="Base Apoio - etapa 1"/>
      <sheetName val="Mód 5 - Insumos Unif, Mat e Eq"/>
      <sheetName val="PC 220h-mes"/>
      <sheetName val="RESUMO"/>
    </sheetNames>
    <sheetDataSet>
      <sheetData sheetId="0">
        <row r="1">
          <cell r="A1" t="str">
            <v>Sim</v>
          </cell>
          <cell r="C1">
            <v>0.1</v>
          </cell>
        </row>
        <row r="2">
          <cell r="A2" t="str">
            <v>Não</v>
          </cell>
          <cell r="C2">
            <v>0.2</v>
          </cell>
        </row>
        <row r="3">
          <cell r="C3">
            <v>0.4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mte.gov.br/sistemas/mediador/ConsultarInstColetivo" TargetMode="External"/><Relationship Id="rId13" Type="http://schemas.openxmlformats.org/officeDocument/2006/relationships/hyperlink" Target="http://www3.mte.gov.br/sistemas/mediador/ConsultarInstColetivo" TargetMode="External"/><Relationship Id="rId18" Type="http://schemas.openxmlformats.org/officeDocument/2006/relationships/hyperlink" Target="http://www3.mte.gov.br/sistemas/mediador/ConsultarInstColetivo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://www3.mte.gov.br/sistemas/mediador/ConsultarInstColetivo" TargetMode="External"/><Relationship Id="rId21" Type="http://schemas.openxmlformats.org/officeDocument/2006/relationships/hyperlink" Target="http://www3.mte.gov.br/sistemas/mediador/ConsultarInstColetivo" TargetMode="External"/><Relationship Id="rId7" Type="http://schemas.openxmlformats.org/officeDocument/2006/relationships/hyperlink" Target="http://www3.mte.gov.br/sistemas/mediador/ConsultarInstColetivo" TargetMode="External"/><Relationship Id="rId12" Type="http://schemas.openxmlformats.org/officeDocument/2006/relationships/hyperlink" Target="http://www3.mte.gov.br/sistemas/mediador/ConsultarInstColetivo" TargetMode="External"/><Relationship Id="rId17" Type="http://schemas.openxmlformats.org/officeDocument/2006/relationships/hyperlink" Target="http://www3.mte.gov.br/sistemas/mediador/ConsultarInstColetivo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3.mte.gov.br/sistemas/mediador/ConsultarInstColetivo" TargetMode="External"/><Relationship Id="rId16" Type="http://schemas.openxmlformats.org/officeDocument/2006/relationships/hyperlink" Target="http://www3.mte.gov.br/sistemas/mediador/ConsultarInstColetivo" TargetMode="External"/><Relationship Id="rId20" Type="http://schemas.openxmlformats.org/officeDocument/2006/relationships/hyperlink" Target="http://www3.mte.gov.br/sistemas/mediador/ConsultarInstColetivo" TargetMode="External"/><Relationship Id="rId29" Type="http://schemas.openxmlformats.org/officeDocument/2006/relationships/ctrlProp" Target="../ctrlProps/ctrlProp3.xml"/><Relationship Id="rId1" Type="http://schemas.openxmlformats.org/officeDocument/2006/relationships/hyperlink" Target="http://www3.mte.gov.br/sistemas/mediador/ConsultarInstColetivo" TargetMode="External"/><Relationship Id="rId6" Type="http://schemas.openxmlformats.org/officeDocument/2006/relationships/hyperlink" Target="http://www3.mte.gov.br/sistemas/mediador/ConsultarInstColetivo" TargetMode="External"/><Relationship Id="rId11" Type="http://schemas.openxmlformats.org/officeDocument/2006/relationships/hyperlink" Target="http://www3.mte.gov.br/sistemas/mediador/ConsultarInstColetivo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3.mte.gov.br/sistemas/mediador/ConsultarInstColetivo" TargetMode="External"/><Relationship Id="rId15" Type="http://schemas.openxmlformats.org/officeDocument/2006/relationships/hyperlink" Target="http://www3.mte.gov.br/sistemas/mediador/ConsultarInstColetivo" TargetMode="External"/><Relationship Id="rId23" Type="http://schemas.openxmlformats.org/officeDocument/2006/relationships/hyperlink" Target="http://www3.mte.gov.br/sistemas/mediador/ConsultarInstColetivo" TargetMode="External"/><Relationship Id="rId28" Type="http://schemas.openxmlformats.org/officeDocument/2006/relationships/ctrlProp" Target="../ctrlProps/ctrlProp2.xml"/><Relationship Id="rId10" Type="http://schemas.openxmlformats.org/officeDocument/2006/relationships/hyperlink" Target="http://www3.mte.gov.br/sistemas/mediador/ConsultarInstColetivo" TargetMode="External"/><Relationship Id="rId19" Type="http://schemas.openxmlformats.org/officeDocument/2006/relationships/hyperlink" Target="http://www3.mte.gov.br/sistemas/mediador/ConsultarInstColetivo" TargetMode="External"/><Relationship Id="rId31" Type="http://schemas.openxmlformats.org/officeDocument/2006/relationships/ctrlProp" Target="../ctrlProps/ctrlProp5.xml"/><Relationship Id="rId4" Type="http://schemas.openxmlformats.org/officeDocument/2006/relationships/hyperlink" Target="http://www3.mte.gov.br/sistemas/mediador/ConsultarInstColetivo" TargetMode="External"/><Relationship Id="rId9" Type="http://schemas.openxmlformats.org/officeDocument/2006/relationships/hyperlink" Target="http://www3.mte.gov.br/sistemas/mediador/ConsultarInstColetivo" TargetMode="External"/><Relationship Id="rId14" Type="http://schemas.openxmlformats.org/officeDocument/2006/relationships/hyperlink" Target="http://www3.mte.gov.br/sistemas/mediador/ConsultarInstColetivo" TargetMode="External"/><Relationship Id="rId22" Type="http://schemas.openxmlformats.org/officeDocument/2006/relationships/hyperlink" Target="http://www3.mte.gov.br/sistemas/mediador/ConsultarInstColetivo" TargetMode="External"/><Relationship Id="rId27" Type="http://schemas.openxmlformats.org/officeDocument/2006/relationships/ctrlProp" Target="../ctrlProps/ctrlProp1.xml"/><Relationship Id="rId30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3.mte.gov.br/sistemas/mediador/ConsultarInstColetivo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bi.mte.gov.br/bgcaged/" TargetMode="External"/><Relationship Id="rId1" Type="http://schemas.openxmlformats.org/officeDocument/2006/relationships/hyperlink" Target="https://pesquisa.apps.tcu.gov.br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D191"/>
  <sheetViews>
    <sheetView showGridLines="0" tabSelected="1" zoomScale="80" zoomScaleNormal="80" workbookViewId="0">
      <selection activeCell="AE16" sqref="AE16"/>
    </sheetView>
  </sheetViews>
  <sheetFormatPr defaultColWidth="9.140625" defaultRowHeight="15"/>
  <cols>
    <col min="1" max="1" width="2.140625" style="1" customWidth="1"/>
    <col min="2" max="2" width="4.28515625" style="78" customWidth="1"/>
    <col min="3" max="3" width="57.140625" style="9" customWidth="1"/>
    <col min="4" max="4" width="17.140625" style="10" customWidth="1"/>
    <col min="5" max="5" width="18" style="9" bestFit="1" customWidth="1"/>
    <col min="6" max="6" width="18" style="1" bestFit="1" customWidth="1"/>
    <col min="7" max="7" width="18" style="1" hidden="1" customWidth="1"/>
    <col min="8" max="8" width="17" style="1" hidden="1" customWidth="1"/>
    <col min="9" max="10" width="7.7109375" style="1" hidden="1" customWidth="1"/>
    <col min="11" max="12" width="8" style="1" hidden="1" customWidth="1"/>
    <col min="13" max="13" width="7.140625" style="1" hidden="1" customWidth="1"/>
    <col min="14" max="14" width="7.28515625" style="1" hidden="1" customWidth="1"/>
    <col min="15" max="15" width="7.85546875" style="1" hidden="1" customWidth="1"/>
    <col min="16" max="16" width="7.42578125" style="1" hidden="1" customWidth="1"/>
    <col min="17" max="17" width="8.42578125" style="1" hidden="1" customWidth="1"/>
    <col min="18" max="19" width="8" style="1" hidden="1" customWidth="1"/>
    <col min="20" max="20" width="7.7109375" style="1" hidden="1" customWidth="1"/>
    <col min="21" max="21" width="8" style="1" hidden="1" customWidth="1"/>
    <col min="22" max="22" width="7.85546875" style="1" hidden="1" customWidth="1"/>
    <col min="23" max="24" width="7.7109375" style="1" hidden="1" customWidth="1"/>
    <col min="25" max="25" width="8" style="1" hidden="1" customWidth="1"/>
    <col min="26" max="26" width="7.85546875" style="1" hidden="1" customWidth="1"/>
    <col min="27" max="27" width="8.5703125" style="1" hidden="1" customWidth="1"/>
    <col min="28" max="28" width="7.85546875" style="1" hidden="1" customWidth="1"/>
    <col min="29" max="30" width="7.7109375" style="1" hidden="1" customWidth="1"/>
    <col min="31" max="16384" width="9.140625" style="1"/>
  </cols>
  <sheetData>
    <row r="1" spans="1:30" customFormat="1" ht="11.25" customHeight="1">
      <c r="A1" s="44"/>
      <c r="B1" s="77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customFormat="1" ht="57" customHeight="1">
      <c r="A2" s="882" t="str">
        <f>CONCATENATE("PREFEITURA MUNICIPAL DE PORTO ALEGRE
",D5)</f>
        <v>PREFEITURA MUNICIPAL DE PORTO ALEGRE
SECRETARIA DE DESENVOLVIMENTO SOCIAL</v>
      </c>
      <c r="B2" s="883"/>
      <c r="C2" s="883"/>
      <c r="D2" s="883"/>
      <c r="E2" s="883"/>
      <c r="F2" s="883"/>
      <c r="G2" s="883"/>
      <c r="H2" s="883"/>
    </row>
    <row r="3" spans="1:30" customFormat="1" ht="18.75" customHeight="1">
      <c r="A3" s="22"/>
      <c r="B3" s="1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customFormat="1" ht="15" customHeight="1">
      <c r="A4" s="1"/>
      <c r="B4" s="477"/>
      <c r="C4" s="517"/>
      <c r="D4" s="650"/>
      <c r="E4" s="519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customFormat="1" ht="31.5" customHeight="1">
      <c r="A5" s="1"/>
      <c r="B5" s="651" t="s">
        <v>2</v>
      </c>
      <c r="C5" s="113" t="s">
        <v>330</v>
      </c>
      <c r="D5" s="884" t="s">
        <v>301</v>
      </c>
      <c r="E5" s="884"/>
      <c r="F5" s="1"/>
      <c r="G5" s="46"/>
      <c r="H5" s="652">
        <v>3</v>
      </c>
      <c r="I5" s="652">
        <v>4</v>
      </c>
      <c r="J5" s="652">
        <v>5</v>
      </c>
      <c r="K5" s="652">
        <v>6</v>
      </c>
      <c r="L5" s="652">
        <v>7</v>
      </c>
      <c r="M5" s="652">
        <v>8</v>
      </c>
      <c r="N5" s="652">
        <v>9</v>
      </c>
      <c r="O5" s="652">
        <v>10</v>
      </c>
      <c r="P5" s="652">
        <v>11</v>
      </c>
      <c r="Q5" s="652">
        <v>12</v>
      </c>
      <c r="R5" s="652">
        <v>13</v>
      </c>
      <c r="S5" s="652">
        <v>14</v>
      </c>
      <c r="T5" s="652">
        <v>15</v>
      </c>
      <c r="U5" s="652">
        <v>16</v>
      </c>
      <c r="V5" s="652">
        <v>17</v>
      </c>
      <c r="W5" s="652">
        <v>18</v>
      </c>
      <c r="X5" s="652">
        <v>19</v>
      </c>
      <c r="Y5" s="652">
        <v>20</v>
      </c>
      <c r="Z5" s="652">
        <v>21</v>
      </c>
      <c r="AA5" s="652">
        <v>22</v>
      </c>
      <c r="AB5" s="652">
        <v>23</v>
      </c>
      <c r="AC5" s="652">
        <v>24</v>
      </c>
      <c r="AD5" s="652">
        <v>25</v>
      </c>
    </row>
    <row r="6" spans="1:30" customFormat="1">
      <c r="A6" s="1"/>
      <c r="B6" s="653" t="s">
        <v>1</v>
      </c>
      <c r="C6" s="113" t="s">
        <v>624</v>
      </c>
      <c r="D6" s="885" t="s">
        <v>625</v>
      </c>
      <c r="E6" s="885"/>
      <c r="F6" s="1"/>
      <c r="G6" s="22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1:30" customFormat="1">
      <c r="A7" s="1"/>
      <c r="B7" s="651" t="s">
        <v>0</v>
      </c>
      <c r="C7" s="113" t="s">
        <v>233</v>
      </c>
      <c r="D7" s="886"/>
      <c r="E7" s="886"/>
      <c r="F7" s="1"/>
      <c r="G7" s="22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0" customFormat="1">
      <c r="A8" s="1"/>
      <c r="B8" s="653" t="s">
        <v>3</v>
      </c>
      <c r="C8" s="113" t="s">
        <v>232</v>
      </c>
      <c r="D8" s="887" t="s">
        <v>623</v>
      </c>
      <c r="E8" s="887"/>
      <c r="F8" s="1"/>
      <c r="G8" s="65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customFormat="1">
      <c r="B9" s="651" t="s">
        <v>7</v>
      </c>
      <c r="C9" s="113" t="s">
        <v>555</v>
      </c>
      <c r="D9" s="881"/>
      <c r="E9" s="881"/>
      <c r="F9" s="1"/>
    </row>
    <row r="10" spans="1:30" customFormat="1">
      <c r="A10" s="1"/>
      <c r="B10" s="653" t="s">
        <v>6</v>
      </c>
      <c r="C10" s="9" t="s">
        <v>626</v>
      </c>
      <c r="D10" s="872">
        <v>45453</v>
      </c>
      <c r="E10" s="872"/>
      <c r="F10" s="1"/>
      <c r="G10" s="1"/>
    </row>
    <row r="11" spans="1:30" customFormat="1">
      <c r="A11" s="1"/>
      <c r="B11" s="653" t="s">
        <v>5</v>
      </c>
      <c r="C11" s="113" t="s">
        <v>538</v>
      </c>
      <c r="D11" s="873" t="s">
        <v>358</v>
      </c>
      <c r="E11" s="873"/>
      <c r="F11" s="1"/>
      <c r="G11" s="1"/>
    </row>
    <row r="12" spans="1:30" customFormat="1">
      <c r="B12" s="651" t="s">
        <v>4</v>
      </c>
      <c r="C12" s="113" t="s">
        <v>503</v>
      </c>
      <c r="D12" s="874">
        <v>6</v>
      </c>
      <c r="E12" s="874"/>
      <c r="F12" s="1"/>
      <c r="G12" s="1"/>
    </row>
    <row r="13" spans="1:30">
      <c r="B13" s="653" t="s">
        <v>141</v>
      </c>
      <c r="C13" s="113" t="s">
        <v>74</v>
      </c>
      <c r="D13" s="873" t="s">
        <v>60</v>
      </c>
      <c r="E13" s="873"/>
    </row>
    <row r="14" spans="1:30">
      <c r="B14" s="651" t="s">
        <v>168</v>
      </c>
      <c r="C14" s="113" t="s">
        <v>351</v>
      </c>
      <c r="D14" s="875"/>
      <c r="E14" s="875"/>
    </row>
    <row r="15" spans="1:30">
      <c r="B15" s="651" t="s">
        <v>280</v>
      </c>
      <c r="C15" s="113" t="s">
        <v>404</v>
      </c>
      <c r="D15" s="876">
        <v>1412</v>
      </c>
      <c r="E15" s="877"/>
    </row>
    <row r="16" spans="1:30">
      <c r="A16" s="41"/>
      <c r="B16" s="307"/>
      <c r="C16" s="308"/>
      <c r="D16" s="309"/>
      <c r="E16" s="30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s="12" customFormat="1">
      <c r="A17" s="654"/>
      <c r="B17" s="477"/>
      <c r="C17" s="517" t="s">
        <v>231</v>
      </c>
      <c r="D17" s="650"/>
      <c r="E17" s="655" t="s">
        <v>505</v>
      </c>
      <c r="F17" s="655" t="s">
        <v>506</v>
      </c>
      <c r="G17" s="655" t="s">
        <v>507</v>
      </c>
      <c r="H17" s="655" t="s">
        <v>508</v>
      </c>
      <c r="I17" s="655" t="s">
        <v>509</v>
      </c>
      <c r="J17" s="655" t="s">
        <v>544</v>
      </c>
      <c r="K17" s="655" t="s">
        <v>545</v>
      </c>
      <c r="L17" s="655" t="s">
        <v>546</v>
      </c>
      <c r="M17" s="655" t="s">
        <v>547</v>
      </c>
      <c r="N17" s="655" t="s">
        <v>548</v>
      </c>
      <c r="O17" s="655" t="s">
        <v>589</v>
      </c>
      <c r="P17" s="655" t="s">
        <v>590</v>
      </c>
      <c r="Q17" s="655" t="s">
        <v>591</v>
      </c>
      <c r="R17" s="655" t="s">
        <v>592</v>
      </c>
      <c r="S17" s="655" t="s">
        <v>593</v>
      </c>
      <c r="T17" s="655" t="s">
        <v>594</v>
      </c>
      <c r="U17" s="655" t="s">
        <v>595</v>
      </c>
      <c r="V17" s="655" t="s">
        <v>596</v>
      </c>
      <c r="W17" s="655" t="s">
        <v>597</v>
      </c>
      <c r="X17" s="655" t="s">
        <v>598</v>
      </c>
      <c r="Y17" s="655" t="s">
        <v>599</v>
      </c>
      <c r="Z17" s="655" t="s">
        <v>600</v>
      </c>
      <c r="AA17" s="655" t="s">
        <v>601</v>
      </c>
      <c r="AB17" s="655" t="s">
        <v>602</v>
      </c>
      <c r="AC17" s="655" t="s">
        <v>603</v>
      </c>
      <c r="AD17" s="655" t="s">
        <v>604</v>
      </c>
    </row>
    <row r="18" spans="1:30" s="59" customFormat="1">
      <c r="A18" s="656"/>
      <c r="B18" s="657" t="s">
        <v>2</v>
      </c>
      <c r="C18" s="658" t="s">
        <v>354</v>
      </c>
      <c r="D18" s="659"/>
      <c r="E18" s="660" t="s">
        <v>619</v>
      </c>
      <c r="F18" s="660" t="s">
        <v>619</v>
      </c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</row>
    <row r="19" spans="1:30">
      <c r="A19" s="661"/>
      <c r="B19" s="653" t="s">
        <v>1</v>
      </c>
      <c r="C19" s="662" t="s">
        <v>81</v>
      </c>
      <c r="D19" s="663"/>
      <c r="E19" s="109" t="s">
        <v>620</v>
      </c>
      <c r="F19" s="109" t="s">
        <v>620</v>
      </c>
      <c r="G19" s="109"/>
      <c r="H19" s="109"/>
      <c r="I19" s="109" t="str">
        <f>IFERROR(VLOOKUP(I$18,'Apoio - Posto'!$A:$J,2,FALSE),"")</f>
        <v/>
      </c>
      <c r="J19" s="109" t="str">
        <f>IFERROR(VLOOKUP(J$18,'Apoio - Posto'!$A:$J,2,FALSE),"")</f>
        <v/>
      </c>
      <c r="K19" s="109" t="str">
        <f>IFERROR(VLOOKUP(K$18,'Apoio - Posto'!$A:$J,2,FALSE),"")</f>
        <v/>
      </c>
      <c r="L19" s="109" t="str">
        <f>IFERROR(VLOOKUP(L$18,'Apoio - Posto'!$A:$J,2,FALSE),"")</f>
        <v/>
      </c>
      <c r="M19" s="109" t="str">
        <f>IFERROR(VLOOKUP(M$18,'Apoio - Posto'!$A:$J,2,FALSE),"")</f>
        <v/>
      </c>
      <c r="N19" s="109" t="str">
        <f>IFERROR(VLOOKUP(N$18,'Apoio - Posto'!$A:$J,2,FALSE),"")</f>
        <v/>
      </c>
      <c r="O19" s="109" t="str">
        <f>IFERROR(VLOOKUP(O$18,'Apoio - Posto'!$A:$J,2,FALSE),"")</f>
        <v/>
      </c>
      <c r="P19" s="109" t="str">
        <f>IFERROR(VLOOKUP(P$18,'Apoio - Posto'!$A:$J,2,FALSE),"")</f>
        <v/>
      </c>
      <c r="Q19" s="109" t="str">
        <f>IFERROR(VLOOKUP(Q$18,'Apoio - Posto'!$A:$J,2,FALSE),"")</f>
        <v/>
      </c>
      <c r="R19" s="109" t="str">
        <f>IFERROR(VLOOKUP(R$18,'Apoio - Posto'!$A:$J,2,FALSE),"")</f>
        <v/>
      </c>
      <c r="S19" s="109" t="str">
        <f>IFERROR(VLOOKUP(S$18,'Apoio - Posto'!$A:$J,2,FALSE),"")</f>
        <v/>
      </c>
      <c r="T19" s="109" t="str">
        <f>IFERROR(VLOOKUP(T$18,'Apoio - Posto'!$A:$J,2,FALSE),"")</f>
        <v/>
      </c>
      <c r="U19" s="109" t="str">
        <f>IFERROR(VLOOKUP(U$18,'Apoio - Posto'!$A:$J,2,FALSE),"")</f>
        <v/>
      </c>
      <c r="V19" s="109" t="str">
        <f>IFERROR(VLOOKUP(V$18,'Apoio - Posto'!$A:$J,2,FALSE),"")</f>
        <v/>
      </c>
      <c r="W19" s="109" t="str">
        <f>IFERROR(VLOOKUP(W$18,'Apoio - Posto'!$A:$J,2,FALSE),"")</f>
        <v/>
      </c>
      <c r="X19" s="109" t="str">
        <f>IFERROR(VLOOKUP(X$18,'Apoio - Posto'!$A:$J,2,FALSE),"")</f>
        <v/>
      </c>
      <c r="Y19" s="109" t="str">
        <f>IFERROR(VLOOKUP(Y$18,'Apoio - Posto'!$A:$J,2,FALSE),"")</f>
        <v/>
      </c>
      <c r="Z19" s="109" t="str">
        <f>IFERROR(VLOOKUP(Z$18,'Apoio - Posto'!$A:$J,2,FALSE),"")</f>
        <v/>
      </c>
      <c r="AA19" s="109" t="str">
        <f>IFERROR(VLOOKUP(AA$18,'Apoio - Posto'!$A:$J,2,FALSE),"")</f>
        <v/>
      </c>
      <c r="AB19" s="109" t="str">
        <f>IFERROR(VLOOKUP(AB$18,'Apoio - Posto'!$A:$J,2,FALSE),"")</f>
        <v/>
      </c>
      <c r="AC19" s="109" t="str">
        <f>IFERROR(VLOOKUP(AC$18,'Apoio - Posto'!$A:$J,2,FALSE),"")</f>
        <v/>
      </c>
      <c r="AD19" s="109" t="str">
        <f>IFERROR(VLOOKUP(AD$18,'Apoio - Posto'!$A:$J,2,FALSE),"")</f>
        <v/>
      </c>
    </row>
    <row r="20" spans="1:30">
      <c r="A20" s="664"/>
      <c r="B20" s="651" t="s">
        <v>0</v>
      </c>
      <c r="C20" s="665" t="s">
        <v>17</v>
      </c>
      <c r="D20" s="666"/>
      <c r="E20" s="667">
        <v>2650.38</v>
      </c>
      <c r="F20" s="667">
        <v>2650.38</v>
      </c>
      <c r="G20" s="667"/>
      <c r="H20" s="667"/>
      <c r="I20" s="667" t="str">
        <f>IFERROR(VLOOKUP(I$18,'Apoio - Posto'!$A:$AA,7,FALSE),"")</f>
        <v/>
      </c>
      <c r="J20" s="667" t="str">
        <f>IFERROR(VLOOKUP(J$18,'Apoio - Posto'!$A:$AA,7,FALSE),"")</f>
        <v/>
      </c>
      <c r="K20" s="667" t="str">
        <f>IFERROR(VLOOKUP(K$18,'Apoio - Posto'!$A:$AA,7,FALSE),"")</f>
        <v/>
      </c>
      <c r="L20" s="667" t="str">
        <f>IFERROR(VLOOKUP(L$18,'Apoio - Posto'!$A:$AA,7,FALSE),"")</f>
        <v/>
      </c>
      <c r="M20" s="667" t="str">
        <f>IFERROR(VLOOKUP(M$18,'Apoio - Posto'!$A:$AA,7,FALSE),"")</f>
        <v/>
      </c>
      <c r="N20" s="667" t="str">
        <f>IFERROR(VLOOKUP(N$18,'Apoio - Posto'!$A:$AA,7,FALSE),"")</f>
        <v/>
      </c>
      <c r="O20" s="667" t="str">
        <f>IFERROR(VLOOKUP(O$18,'Apoio - Posto'!$A:$AA,7,FALSE),"")</f>
        <v/>
      </c>
      <c r="P20" s="667" t="str">
        <f>IFERROR(VLOOKUP(P$18,'Apoio - Posto'!$A:$AA,7,FALSE),"")</f>
        <v/>
      </c>
      <c r="Q20" s="667" t="str">
        <f>IFERROR(VLOOKUP(Q$18,'Apoio - Posto'!$A:$AA,7,FALSE),"")</f>
        <v/>
      </c>
      <c r="R20" s="667" t="str">
        <f>IFERROR(VLOOKUP(R$18,'Apoio - Posto'!$A:$AA,7,FALSE),"")</f>
        <v/>
      </c>
      <c r="S20" s="667" t="str">
        <f>IFERROR(VLOOKUP(S$18,'Apoio - Posto'!$A:$AA,7,FALSE),"")</f>
        <v/>
      </c>
      <c r="T20" s="667" t="str">
        <f>IFERROR(VLOOKUP(T$18,'Apoio - Posto'!$A:$AA,7,FALSE),"")</f>
        <v/>
      </c>
      <c r="U20" s="667" t="str">
        <f>IFERROR(VLOOKUP(U$18,'Apoio - Posto'!$A:$AA,7,FALSE),"")</f>
        <v/>
      </c>
      <c r="V20" s="667" t="str">
        <f>IFERROR(VLOOKUP(V$18,'Apoio - Posto'!$A:$AA,7,FALSE),"")</f>
        <v/>
      </c>
      <c r="W20" s="667" t="str">
        <f>IFERROR(VLOOKUP(W$18,'Apoio - Posto'!$A:$AA,7,FALSE),"")</f>
        <v/>
      </c>
      <c r="X20" s="667" t="str">
        <f>IFERROR(VLOOKUP(X$18,'Apoio - Posto'!$A:$AA,7,FALSE),"")</f>
        <v/>
      </c>
      <c r="Y20" s="667" t="str">
        <f>IFERROR(VLOOKUP(Y$18,'Apoio - Posto'!$A:$AA,7,FALSE),"")</f>
        <v/>
      </c>
      <c r="Z20" s="667" t="str">
        <f>IFERROR(VLOOKUP(Z$18,'Apoio - Posto'!$A:$AA,7,FALSE),"")</f>
        <v/>
      </c>
      <c r="AA20" s="667" t="str">
        <f>IFERROR(VLOOKUP(AA$18,'Apoio - Posto'!$A:$AA,7,FALSE),"")</f>
        <v/>
      </c>
      <c r="AB20" s="667" t="str">
        <f>IFERROR(VLOOKUP(AB$18,'Apoio - Posto'!$A:$AA,7,FALSE),"")</f>
        <v/>
      </c>
      <c r="AC20" s="667" t="str">
        <f>IFERROR(VLOOKUP(AC$18,'Apoio - Posto'!$A:$AA,7,FALSE),"")</f>
        <v/>
      </c>
      <c r="AD20" s="667" t="str">
        <f>IFERROR(VLOOKUP(AD$18,'Apoio - Posto'!$A:$AA,7,FALSE),"")</f>
        <v/>
      </c>
    </row>
    <row r="21" spans="1:30">
      <c r="A21" s="661"/>
      <c r="B21" s="653" t="s">
        <v>3</v>
      </c>
      <c r="C21" s="662" t="s">
        <v>560</v>
      </c>
      <c r="D21" s="663"/>
      <c r="E21" s="668">
        <v>200</v>
      </c>
      <c r="F21" s="668">
        <v>200</v>
      </c>
      <c r="G21" s="668"/>
      <c r="H21" s="668"/>
      <c r="I21" s="668" t="str">
        <f>IFERROR(VLOOKUP(I$18,'Apoio - Posto'!$A:$AA,8,FALSE),"")</f>
        <v/>
      </c>
      <c r="J21" s="668" t="str">
        <f>IFERROR(VLOOKUP(J$18,'Apoio - Posto'!$A:$AA,8,FALSE),"")</f>
        <v/>
      </c>
      <c r="K21" s="668" t="str">
        <f>IFERROR(VLOOKUP(K$18,'Apoio - Posto'!$A:$AA,8,FALSE),"")</f>
        <v/>
      </c>
      <c r="L21" s="668" t="str">
        <f>IFERROR(VLOOKUP(L$18,'Apoio - Posto'!$A:$AA,8,FALSE),"")</f>
        <v/>
      </c>
      <c r="M21" s="668" t="str">
        <f>IFERROR(VLOOKUP(M$18,'Apoio - Posto'!$A:$AA,8,FALSE),"")</f>
        <v/>
      </c>
      <c r="N21" s="668" t="str">
        <f>IFERROR(VLOOKUP(N$18,'Apoio - Posto'!$A:$AA,8,FALSE),"")</f>
        <v/>
      </c>
      <c r="O21" s="668" t="str">
        <f>IFERROR(VLOOKUP(O$18,'Apoio - Posto'!$A:$AA,8,FALSE),"")</f>
        <v/>
      </c>
      <c r="P21" s="668" t="str">
        <f>IFERROR(VLOOKUP(P$18,'Apoio - Posto'!$A:$AA,8,FALSE),"")</f>
        <v/>
      </c>
      <c r="Q21" s="668" t="str">
        <f>IFERROR(VLOOKUP(Q$18,'Apoio - Posto'!$A:$AA,8,FALSE),"")</f>
        <v/>
      </c>
      <c r="R21" s="668" t="str">
        <f>IFERROR(VLOOKUP(R$18,'Apoio - Posto'!$A:$AA,8,FALSE),"")</f>
        <v/>
      </c>
      <c r="S21" s="668" t="str">
        <f>IFERROR(VLOOKUP(S$18,'Apoio - Posto'!$A:$AA,8,FALSE),"")</f>
        <v/>
      </c>
      <c r="T21" s="668" t="str">
        <f>IFERROR(VLOOKUP(T$18,'Apoio - Posto'!$A:$AA,8,FALSE),"")</f>
        <v/>
      </c>
      <c r="U21" s="668" t="str">
        <f>IFERROR(VLOOKUP(U$18,'Apoio - Posto'!$A:$AA,8,FALSE),"")</f>
        <v/>
      </c>
      <c r="V21" s="668" t="str">
        <f>IFERROR(VLOOKUP(V$18,'Apoio - Posto'!$A:$AA,8,FALSE),"")</f>
        <v/>
      </c>
      <c r="W21" s="668" t="str">
        <f>IFERROR(VLOOKUP(W$18,'Apoio - Posto'!$A:$AA,8,FALSE),"")</f>
        <v/>
      </c>
      <c r="X21" s="668" t="str">
        <f>IFERROR(VLOOKUP(X$18,'Apoio - Posto'!$A:$AA,8,FALSE),"")</f>
        <v/>
      </c>
      <c r="Y21" s="668" t="str">
        <f>IFERROR(VLOOKUP(Y$18,'Apoio - Posto'!$A:$AA,8,FALSE),"")</f>
        <v/>
      </c>
      <c r="Z21" s="668" t="str">
        <f>IFERROR(VLOOKUP(Z$18,'Apoio - Posto'!$A:$AA,8,FALSE),"")</f>
        <v/>
      </c>
      <c r="AA21" s="668" t="str">
        <f>IFERROR(VLOOKUP(AA$18,'Apoio - Posto'!$A:$AA,8,FALSE),"")</f>
        <v/>
      </c>
      <c r="AB21" s="668" t="str">
        <f>IFERROR(VLOOKUP(AB$18,'Apoio - Posto'!$A:$AA,8,FALSE),"")</f>
        <v/>
      </c>
      <c r="AC21" s="668" t="str">
        <f>IFERROR(VLOOKUP(AC$18,'Apoio - Posto'!$A:$AA,8,FALSE),"")</f>
        <v/>
      </c>
      <c r="AD21" s="668" t="str">
        <f>IFERROR(VLOOKUP(AD$18,'Apoio - Posto'!$A:$AA,8,FALSE),"")</f>
        <v/>
      </c>
    </row>
    <row r="22" spans="1:30">
      <c r="A22" s="664"/>
      <c r="B22" s="651" t="s">
        <v>7</v>
      </c>
      <c r="C22" s="665" t="s">
        <v>18</v>
      </c>
      <c r="D22" s="666"/>
      <c r="E22" s="669" t="str">
        <f>IFERROR(VLOOKUP(E$18,'Apoio - Posto'!$A:$J,3,FALSE),"")</f>
        <v/>
      </c>
      <c r="F22" s="669" t="str">
        <f>IFERROR(VLOOKUP(F$18,'Apoio - Posto'!$A:$J,3,FALSE),"")</f>
        <v/>
      </c>
      <c r="G22" s="669"/>
      <c r="H22" s="669"/>
      <c r="I22" s="669" t="str">
        <f>IFERROR(VLOOKUP(I$18,'Apoio - Posto'!$A:$J,3,FALSE),"")</f>
        <v/>
      </c>
      <c r="J22" s="669" t="str">
        <f>IFERROR(VLOOKUP(J$18,'Apoio - Posto'!$A:$J,3,FALSE),"")</f>
        <v/>
      </c>
      <c r="K22" s="669" t="str">
        <f>IFERROR(VLOOKUP(K$18,'Apoio - Posto'!$A:$J,3,FALSE),"")</f>
        <v/>
      </c>
      <c r="L22" s="669" t="str">
        <f>IFERROR(VLOOKUP(L$18,'Apoio - Posto'!$A:$J,3,FALSE),"")</f>
        <v/>
      </c>
      <c r="M22" s="669" t="str">
        <f>IFERROR(VLOOKUP(M$18,'Apoio - Posto'!$A:$J,3,FALSE),"")</f>
        <v/>
      </c>
      <c r="N22" s="669" t="str">
        <f>IFERROR(VLOOKUP(N$18,'Apoio - Posto'!$A:$J,3,FALSE),"")</f>
        <v/>
      </c>
      <c r="O22" s="669" t="str">
        <f>IFERROR(VLOOKUP(O$18,'Apoio - Posto'!$A:$J,3,FALSE),"")</f>
        <v/>
      </c>
      <c r="P22" s="669" t="str">
        <f>IFERROR(VLOOKUP(P$18,'Apoio - Posto'!$A:$J,3,FALSE),"")</f>
        <v/>
      </c>
      <c r="Q22" s="669" t="str">
        <f>IFERROR(VLOOKUP(Q$18,'Apoio - Posto'!$A:$J,3,FALSE),"")</f>
        <v/>
      </c>
      <c r="R22" s="669" t="str">
        <f>IFERROR(VLOOKUP(R$18,'Apoio - Posto'!$A:$J,3,FALSE),"")</f>
        <v/>
      </c>
      <c r="S22" s="669" t="str">
        <f>IFERROR(VLOOKUP(S$18,'Apoio - Posto'!$A:$J,3,FALSE),"")</f>
        <v/>
      </c>
      <c r="T22" s="669" t="str">
        <f>IFERROR(VLOOKUP(T$18,'Apoio - Posto'!$A:$J,3,FALSE),"")</f>
        <v/>
      </c>
      <c r="U22" s="669" t="str">
        <f>IFERROR(VLOOKUP(U$18,'Apoio - Posto'!$A:$J,3,FALSE),"")</f>
        <v/>
      </c>
      <c r="V22" s="669" t="str">
        <f>IFERROR(VLOOKUP(V$18,'Apoio - Posto'!$A:$J,3,FALSE),"")</f>
        <v/>
      </c>
      <c r="W22" s="669" t="str">
        <f>IFERROR(VLOOKUP(W$18,'Apoio - Posto'!$A:$J,3,FALSE),"")</f>
        <v/>
      </c>
      <c r="X22" s="669" t="str">
        <f>IFERROR(VLOOKUP(X$18,'Apoio - Posto'!$A:$J,3,FALSE),"")</f>
        <v/>
      </c>
      <c r="Y22" s="669" t="str">
        <f>IFERROR(VLOOKUP(Y$18,'Apoio - Posto'!$A:$J,3,FALSE),"")</f>
        <v/>
      </c>
      <c r="Z22" s="669" t="str">
        <f>IFERROR(VLOOKUP(Z$18,'Apoio - Posto'!$A:$J,3,FALSE),"")</f>
        <v/>
      </c>
      <c r="AA22" s="669" t="str">
        <f>IFERROR(VLOOKUP(AA$18,'Apoio - Posto'!$A:$J,3,FALSE),"")</f>
        <v/>
      </c>
      <c r="AB22" s="669" t="str">
        <f>IFERROR(VLOOKUP(AB$18,'Apoio - Posto'!$A:$J,3,FALSE),"")</f>
        <v/>
      </c>
      <c r="AC22" s="669" t="str">
        <f>IFERROR(VLOOKUP(AC$18,'Apoio - Posto'!$A:$J,3,FALSE),"")</f>
        <v/>
      </c>
      <c r="AD22" s="669" t="str">
        <f>IFERROR(VLOOKUP(AD$18,'Apoio - Posto'!$A:$J,3,FALSE),"")</f>
        <v/>
      </c>
    </row>
    <row r="23" spans="1:30">
      <c r="A23" s="661"/>
      <c r="B23" s="653" t="s">
        <v>6</v>
      </c>
      <c r="C23" s="662" t="s">
        <v>79</v>
      </c>
      <c r="D23" s="663"/>
      <c r="E23" s="670" t="str">
        <f>IFERROR(VLOOKUP(E$18,'Apoio - Posto'!$A:$J,5,FALSE),"")</f>
        <v/>
      </c>
      <c r="F23" s="670" t="str">
        <f>IFERROR(VLOOKUP(F$18,'Apoio - Posto'!$A:$J,5,FALSE),"")</f>
        <v/>
      </c>
      <c r="G23" s="670"/>
      <c r="H23" s="670"/>
      <c r="I23" s="670" t="str">
        <f>IFERROR(VLOOKUP(I$18,'Apoio - Posto'!$A:$J,5,FALSE),"")</f>
        <v/>
      </c>
      <c r="J23" s="670" t="str">
        <f>IFERROR(VLOOKUP(J$18,'Apoio - Posto'!$A:$J,5,FALSE),"")</f>
        <v/>
      </c>
      <c r="K23" s="670" t="str">
        <f>IFERROR(VLOOKUP(K$18,'Apoio - Posto'!$A:$J,5,FALSE),"")</f>
        <v/>
      </c>
      <c r="L23" s="670" t="str">
        <f>IFERROR(VLOOKUP(L$18,'Apoio - Posto'!$A:$J,5,FALSE),"")</f>
        <v/>
      </c>
      <c r="M23" s="670" t="str">
        <f>IFERROR(VLOOKUP(M$18,'Apoio - Posto'!$A:$J,5,FALSE),"")</f>
        <v/>
      </c>
      <c r="N23" s="670" t="str">
        <f>IFERROR(VLOOKUP(N$18,'Apoio - Posto'!$A:$J,5,FALSE),"")</f>
        <v/>
      </c>
      <c r="O23" s="670" t="str">
        <f>IFERROR(VLOOKUP(O$18,'Apoio - Posto'!$A:$J,5,FALSE),"")</f>
        <v/>
      </c>
      <c r="P23" s="670" t="str">
        <f>IFERROR(VLOOKUP(P$18,'Apoio - Posto'!$A:$J,5,FALSE),"")</f>
        <v/>
      </c>
      <c r="Q23" s="670" t="str">
        <f>IFERROR(VLOOKUP(Q$18,'Apoio - Posto'!$A:$J,5,FALSE),"")</f>
        <v/>
      </c>
      <c r="R23" s="670" t="str">
        <f>IFERROR(VLOOKUP(R$18,'Apoio - Posto'!$A:$J,5,FALSE),"")</f>
        <v/>
      </c>
      <c r="S23" s="670" t="str">
        <f>IFERROR(VLOOKUP(S$18,'Apoio - Posto'!$A:$J,5,FALSE),"")</f>
        <v/>
      </c>
      <c r="T23" s="670" t="str">
        <f>IFERROR(VLOOKUP(T$18,'Apoio - Posto'!$A:$J,5,FALSE),"")</f>
        <v/>
      </c>
      <c r="U23" s="670" t="str">
        <f>IFERROR(VLOOKUP(U$18,'Apoio - Posto'!$A:$J,5,FALSE),"")</f>
        <v/>
      </c>
      <c r="V23" s="670" t="str">
        <f>IFERROR(VLOOKUP(V$18,'Apoio - Posto'!$A:$J,5,FALSE),"")</f>
        <v/>
      </c>
      <c r="W23" s="670" t="str">
        <f>IFERROR(VLOOKUP(W$18,'Apoio - Posto'!$A:$J,5,FALSE),"")</f>
        <v/>
      </c>
      <c r="X23" s="670" t="str">
        <f>IFERROR(VLOOKUP(X$18,'Apoio - Posto'!$A:$J,5,FALSE),"")</f>
        <v/>
      </c>
      <c r="Y23" s="670" t="str">
        <f>IFERROR(VLOOKUP(Y$18,'Apoio - Posto'!$A:$J,5,FALSE),"")</f>
        <v/>
      </c>
      <c r="Z23" s="670" t="str">
        <f>IFERROR(VLOOKUP(Z$18,'Apoio - Posto'!$A:$J,5,FALSE),"")</f>
        <v/>
      </c>
      <c r="AA23" s="670" t="str">
        <f>IFERROR(VLOOKUP(AA$18,'Apoio - Posto'!$A:$J,5,FALSE),"")</f>
        <v/>
      </c>
      <c r="AB23" s="670" t="str">
        <f>IFERROR(VLOOKUP(AB$18,'Apoio - Posto'!$A:$J,5,FALSE),"")</f>
        <v/>
      </c>
      <c r="AC23" s="670" t="str">
        <f>IFERROR(VLOOKUP(AC$18,'Apoio - Posto'!$A:$J,5,FALSE),"")</f>
        <v/>
      </c>
      <c r="AD23" s="670" t="str">
        <f>IFERROR(VLOOKUP(AD$18,'Apoio - Posto'!$A:$J,5,FALSE),"")</f>
        <v/>
      </c>
    </row>
    <row r="24" spans="1:30">
      <c r="A24" s="664"/>
      <c r="B24" s="651" t="s">
        <v>5</v>
      </c>
      <c r="C24" s="665" t="s">
        <v>80</v>
      </c>
      <c r="D24" s="666"/>
      <c r="E24" s="671" t="str">
        <f>IFERROR(VLOOKUP(E$18,'Apoio - Posto'!$A:$J,4,FALSE),"")</f>
        <v/>
      </c>
      <c r="F24" s="671" t="str">
        <f>IFERROR(VLOOKUP(F$18,'Apoio - Posto'!$A:$J,4,FALSE),"")</f>
        <v/>
      </c>
      <c r="G24" s="671"/>
      <c r="H24" s="671"/>
      <c r="I24" s="671" t="str">
        <f>IFERROR(VLOOKUP(I$18,'Apoio - Posto'!$A:$J,4,FALSE),"")</f>
        <v/>
      </c>
      <c r="J24" s="671" t="str">
        <f>IFERROR(VLOOKUP(J$18,'Apoio - Posto'!$A:$J,4,FALSE),"")</f>
        <v/>
      </c>
      <c r="K24" s="671" t="str">
        <f>IFERROR(VLOOKUP(K$18,'Apoio - Posto'!$A:$J,4,FALSE),"")</f>
        <v/>
      </c>
      <c r="L24" s="671" t="str">
        <f>IFERROR(VLOOKUP(L$18,'Apoio - Posto'!$A:$J,4,FALSE),"")</f>
        <v/>
      </c>
      <c r="M24" s="671" t="str">
        <f>IFERROR(VLOOKUP(M$18,'Apoio - Posto'!$A:$J,4,FALSE),"")</f>
        <v/>
      </c>
      <c r="N24" s="671" t="str">
        <f>IFERROR(VLOOKUP(N$18,'Apoio - Posto'!$A:$J,4,FALSE),"")</f>
        <v/>
      </c>
      <c r="O24" s="671" t="str">
        <f>IFERROR(VLOOKUP(O$18,'Apoio - Posto'!$A:$J,4,FALSE),"")</f>
        <v/>
      </c>
      <c r="P24" s="671" t="str">
        <f>IFERROR(VLOOKUP(P$18,'Apoio - Posto'!$A:$J,4,FALSE),"")</f>
        <v/>
      </c>
      <c r="Q24" s="671" t="str">
        <f>IFERROR(VLOOKUP(Q$18,'Apoio - Posto'!$A:$J,4,FALSE),"")</f>
        <v/>
      </c>
      <c r="R24" s="671" t="str">
        <f>IFERROR(VLOOKUP(R$18,'Apoio - Posto'!$A:$J,4,FALSE),"")</f>
        <v/>
      </c>
      <c r="S24" s="671" t="str">
        <f>IFERROR(VLOOKUP(S$18,'Apoio - Posto'!$A:$J,4,FALSE),"")</f>
        <v/>
      </c>
      <c r="T24" s="671" t="str">
        <f>IFERROR(VLOOKUP(T$18,'Apoio - Posto'!$A:$J,4,FALSE),"")</f>
        <v/>
      </c>
      <c r="U24" s="671" t="str">
        <f>IFERROR(VLOOKUP(U$18,'Apoio - Posto'!$A:$J,4,FALSE),"")</f>
        <v/>
      </c>
      <c r="V24" s="671" t="str">
        <f>IFERROR(VLOOKUP(V$18,'Apoio - Posto'!$A:$J,4,FALSE),"")</f>
        <v/>
      </c>
      <c r="W24" s="671" t="str">
        <f>IFERROR(VLOOKUP(W$18,'Apoio - Posto'!$A:$J,4,FALSE),"")</f>
        <v/>
      </c>
      <c r="X24" s="671" t="str">
        <f>IFERROR(VLOOKUP(X$18,'Apoio - Posto'!$A:$J,4,FALSE),"")</f>
        <v/>
      </c>
      <c r="Y24" s="671" t="str">
        <f>IFERROR(VLOOKUP(Y$18,'Apoio - Posto'!$A:$J,4,FALSE),"")</f>
        <v/>
      </c>
      <c r="Z24" s="671" t="str">
        <f>IFERROR(VLOOKUP(Z$18,'Apoio - Posto'!$A:$J,4,FALSE),"")</f>
        <v/>
      </c>
      <c r="AA24" s="671" t="str">
        <f>IFERROR(VLOOKUP(AA$18,'Apoio - Posto'!$A:$J,4,FALSE),"")</f>
        <v/>
      </c>
      <c r="AB24" s="671" t="str">
        <f>IFERROR(VLOOKUP(AB$18,'Apoio - Posto'!$A:$J,4,FALSE),"")</f>
        <v/>
      </c>
      <c r="AC24" s="671" t="str">
        <f>IFERROR(VLOOKUP(AC$18,'Apoio - Posto'!$A:$J,4,FALSE),"")</f>
        <v/>
      </c>
      <c r="AD24" s="671" t="str">
        <f>IFERROR(VLOOKUP(AD$18,'Apoio - Posto'!$A:$J,4,FALSE),"")</f>
        <v/>
      </c>
    </row>
    <row r="25" spans="1:30">
      <c r="A25" s="664"/>
      <c r="B25" s="653" t="s">
        <v>4</v>
      </c>
      <c r="C25" s="662" t="s">
        <v>553</v>
      </c>
      <c r="D25" s="663"/>
      <c r="E25" s="631" t="s">
        <v>621</v>
      </c>
      <c r="F25" s="631" t="s">
        <v>621</v>
      </c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</row>
    <row r="26" spans="1:30">
      <c r="A26" s="661"/>
      <c r="B26" s="651" t="s">
        <v>141</v>
      </c>
      <c r="C26" s="665" t="s">
        <v>561</v>
      </c>
      <c r="D26" s="666"/>
      <c r="E26" s="673" t="s">
        <v>47</v>
      </c>
      <c r="F26" s="673" t="s">
        <v>48</v>
      </c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</row>
    <row r="27" spans="1:30">
      <c r="A27" s="664"/>
      <c r="B27" s="651" t="s">
        <v>168</v>
      </c>
      <c r="C27" s="662" t="s">
        <v>552</v>
      </c>
      <c r="D27" s="663"/>
      <c r="E27" s="632"/>
      <c r="F27" s="632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</row>
    <row r="28" spans="1:30">
      <c r="A28" s="661"/>
      <c r="B28" s="653" t="s">
        <v>280</v>
      </c>
      <c r="C28" s="662" t="s">
        <v>550</v>
      </c>
      <c r="D28" s="663"/>
      <c r="E28" s="109">
        <f>IFERROR(VLOOKUP(E26,'Apoio - Regime de Trabalho'!$A:$I,2,FALSE),"")</f>
        <v>2</v>
      </c>
      <c r="F28" s="109">
        <f>IFERROR(VLOOKUP(F26,'Apoio - Regime de Trabalho'!$A:$I,2,FALSE),"")</f>
        <v>2</v>
      </c>
      <c r="G28" s="109"/>
      <c r="H28" s="109"/>
      <c r="I28" s="109" t="str">
        <f>IFERROR(VLOOKUP(I26,'Apoio - Regime de Trabalho'!$A:$I,2,FALSE),"")</f>
        <v/>
      </c>
      <c r="J28" s="109" t="str">
        <f>IFERROR(VLOOKUP(J26,'Apoio - Regime de Trabalho'!$A:$I,2,FALSE),"")</f>
        <v/>
      </c>
      <c r="K28" s="109" t="str">
        <f>IFERROR(VLOOKUP(K26,'Apoio - Regime de Trabalho'!$A:$I,2,FALSE),"")</f>
        <v/>
      </c>
      <c r="L28" s="109" t="str">
        <f>IFERROR(VLOOKUP(L26,'Apoio - Regime de Trabalho'!$A:$I,2,FALSE),"")</f>
        <v/>
      </c>
      <c r="M28" s="109" t="str">
        <f>IFERROR(VLOOKUP(M26,'Apoio - Regime de Trabalho'!$A:$I,2,FALSE),"")</f>
        <v/>
      </c>
      <c r="N28" s="109" t="str">
        <f>IFERROR(VLOOKUP(N26,'Apoio - Regime de Trabalho'!$A:$I,2,FALSE),"")</f>
        <v/>
      </c>
      <c r="O28" s="109" t="str">
        <f>IFERROR(VLOOKUP(O26,'Apoio - Regime de Trabalho'!$A:$I,2,FALSE),"")</f>
        <v/>
      </c>
      <c r="P28" s="109" t="str">
        <f>IFERROR(VLOOKUP(P26,'Apoio - Regime de Trabalho'!$A:$I,2,FALSE),"")</f>
        <v/>
      </c>
      <c r="Q28" s="109" t="str">
        <f>IFERROR(VLOOKUP(Q26,'Apoio - Regime de Trabalho'!$A:$I,2,FALSE),"")</f>
        <v/>
      </c>
      <c r="R28" s="109" t="str">
        <f>IFERROR(VLOOKUP(R26,'Apoio - Regime de Trabalho'!$A:$I,2,FALSE),"")</f>
        <v/>
      </c>
      <c r="S28" s="109" t="str">
        <f>IFERROR(VLOOKUP(S26,'Apoio - Regime de Trabalho'!$A:$I,2,FALSE),"")</f>
        <v/>
      </c>
      <c r="T28" s="109" t="str">
        <f>IFERROR(VLOOKUP(T26,'Apoio - Regime de Trabalho'!$A:$I,2,FALSE),"")</f>
        <v/>
      </c>
      <c r="U28" s="109" t="str">
        <f>IFERROR(VLOOKUP(U26,'Apoio - Regime de Trabalho'!$A:$I,2,FALSE),"")</f>
        <v/>
      </c>
      <c r="V28" s="109" t="str">
        <f>IFERROR(VLOOKUP(V26,'Apoio - Regime de Trabalho'!$A:$I,2,FALSE),"")</f>
        <v/>
      </c>
      <c r="W28" s="109" t="str">
        <f>IFERROR(VLOOKUP(W26,'Apoio - Regime de Trabalho'!$A:$I,2,FALSE),"")</f>
        <v/>
      </c>
      <c r="X28" s="109" t="str">
        <f>IFERROR(VLOOKUP(X26,'Apoio - Regime de Trabalho'!$A:$I,2,FALSE),"")</f>
        <v/>
      </c>
      <c r="Y28" s="109" t="str">
        <f>IFERROR(VLOOKUP(Y26,'Apoio - Regime de Trabalho'!$A:$I,2,FALSE),"")</f>
        <v/>
      </c>
      <c r="Z28" s="109" t="str">
        <f>IFERROR(VLOOKUP(Z26,'Apoio - Regime de Trabalho'!$A:$I,2,FALSE),"")</f>
        <v/>
      </c>
      <c r="AA28" s="109" t="str">
        <f>IFERROR(VLOOKUP(AA26,'Apoio - Regime de Trabalho'!$A:$I,2,FALSE),"")</f>
        <v/>
      </c>
      <c r="AB28" s="109" t="str">
        <f>IFERROR(VLOOKUP(AB26,'Apoio - Regime de Trabalho'!$A:$I,2,FALSE),"")</f>
        <v/>
      </c>
      <c r="AC28" s="109" t="str">
        <f>IFERROR(VLOOKUP(AC26,'Apoio - Regime de Trabalho'!$A:$I,2,FALSE),"")</f>
        <v/>
      </c>
      <c r="AD28" s="109" t="str">
        <f>IFERROR(VLOOKUP(AD26,'Apoio - Regime de Trabalho'!$A:$I,2,FALSE),"")</f>
        <v/>
      </c>
    </row>
    <row r="29" spans="1:30">
      <c r="A29" s="661"/>
      <c r="B29" s="653" t="s">
        <v>355</v>
      </c>
      <c r="C29" s="662" t="s">
        <v>551</v>
      </c>
      <c r="D29" s="663"/>
      <c r="E29" s="109">
        <f>IFERROR(IF(E18="","",E28*E27),"")</f>
        <v>0</v>
      </c>
      <c r="F29" s="109">
        <f>IFERROR(IF(F18="","",F28*F27),"")</f>
        <v>0</v>
      </c>
      <c r="G29" s="109"/>
      <c r="H29" s="109"/>
      <c r="I29" s="109" t="str">
        <f t="shared" ref="I29:N29" si="0">IFERROR(IF(I18="","",I28*I27),"")</f>
        <v/>
      </c>
      <c r="J29" s="109" t="str">
        <f t="shared" si="0"/>
        <v/>
      </c>
      <c r="K29" s="109" t="str">
        <f t="shared" si="0"/>
        <v/>
      </c>
      <c r="L29" s="109" t="str">
        <f t="shared" si="0"/>
        <v/>
      </c>
      <c r="M29" s="109" t="str">
        <f t="shared" si="0"/>
        <v/>
      </c>
      <c r="N29" s="109" t="str">
        <f t="shared" si="0"/>
        <v/>
      </c>
      <c r="O29" s="109" t="str">
        <f t="shared" ref="O29:AD29" si="1">IFERROR(IF(O18="","",O28*O27),"")</f>
        <v/>
      </c>
      <c r="P29" s="109" t="str">
        <f t="shared" si="1"/>
        <v/>
      </c>
      <c r="Q29" s="109" t="str">
        <f t="shared" si="1"/>
        <v/>
      </c>
      <c r="R29" s="109" t="str">
        <f t="shared" si="1"/>
        <v/>
      </c>
      <c r="S29" s="109" t="str">
        <f t="shared" si="1"/>
        <v/>
      </c>
      <c r="T29" s="109" t="str">
        <f t="shared" si="1"/>
        <v/>
      </c>
      <c r="U29" s="109" t="str">
        <f t="shared" si="1"/>
        <v/>
      </c>
      <c r="V29" s="109" t="str">
        <f t="shared" si="1"/>
        <v/>
      </c>
      <c r="W29" s="109" t="str">
        <f t="shared" si="1"/>
        <v/>
      </c>
      <c r="X29" s="109" t="str">
        <f t="shared" si="1"/>
        <v/>
      </c>
      <c r="Y29" s="109" t="str">
        <f t="shared" si="1"/>
        <v/>
      </c>
      <c r="Z29" s="109" t="str">
        <f t="shared" si="1"/>
        <v/>
      </c>
      <c r="AA29" s="109" t="str">
        <f t="shared" si="1"/>
        <v/>
      </c>
      <c r="AB29" s="109" t="str">
        <f t="shared" si="1"/>
        <v/>
      </c>
      <c r="AC29" s="109" t="str">
        <f t="shared" si="1"/>
        <v/>
      </c>
      <c r="AD29" s="109" t="str">
        <f t="shared" si="1"/>
        <v/>
      </c>
    </row>
    <row r="30" spans="1:30">
      <c r="B30" s="79"/>
      <c r="C30" s="674"/>
      <c r="D30" s="675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</row>
    <row r="31" spans="1:30" s="12" customFormat="1">
      <c r="A31" s="677"/>
      <c r="B31" s="477"/>
      <c r="C31" s="517" t="s">
        <v>228</v>
      </c>
      <c r="D31" s="678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</row>
    <row r="32" spans="1:30">
      <c r="A32" s="679"/>
      <c r="B32" s="680" t="s">
        <v>2</v>
      </c>
      <c r="C32" s="681" t="s">
        <v>240</v>
      </c>
      <c r="D32" s="682"/>
      <c r="E32" s="683">
        <f>IFERROR(E20*VLOOKUP(E26,'Apoio - Regime de Trabalho'!$A:$I,8,FALSE)/(E21),"")</f>
        <v>2915.4179999999997</v>
      </c>
      <c r="F32" s="683">
        <f>IFERROR(F20*VLOOKUP(F26,'Apoio - Regime de Trabalho'!$A:$I,8,FALSE)/(F21),"")</f>
        <v>2915.4179999999997</v>
      </c>
      <c r="G32" s="683" t="str">
        <f>IFERROR(G20*VLOOKUP(G26,'Apoio - Regime de Trabalho'!$A:$I,8,FALSE)/(G21),"")</f>
        <v/>
      </c>
      <c r="H32" s="683" t="str">
        <f>IFERROR(H20*VLOOKUP(H26,'Apoio - Regime de Trabalho'!$A:$I,8,FALSE)/(H21),"")</f>
        <v/>
      </c>
      <c r="I32" s="683" t="str">
        <f>IFERROR(I20*VLOOKUP(I26,'Apoio - Regime de Trabalho'!$A:$I,8,FALSE)/(I21),"")</f>
        <v/>
      </c>
      <c r="J32" s="683" t="str">
        <f>IFERROR(J20*VLOOKUP(J26,'Apoio - Regime de Trabalho'!$A:$I,8,FALSE)/(J21),"")</f>
        <v/>
      </c>
      <c r="K32" s="683" t="str">
        <f>IFERROR(K20*VLOOKUP(K26,'Apoio - Regime de Trabalho'!$A:$I,8,FALSE)/(K21),"")</f>
        <v/>
      </c>
      <c r="L32" s="683" t="str">
        <f>IFERROR(L20*VLOOKUP(L26,'Apoio - Regime de Trabalho'!$A:$I,8,FALSE)/(L21),"")</f>
        <v/>
      </c>
      <c r="M32" s="683" t="str">
        <f>IFERROR(M20*VLOOKUP(M26,'Apoio - Regime de Trabalho'!$A:$I,8,FALSE)/(M21),"")</f>
        <v/>
      </c>
      <c r="N32" s="683" t="str">
        <f>IFERROR(N20*VLOOKUP(N26,'Apoio - Regime de Trabalho'!$A:$I,8,FALSE)/(N21),"")</f>
        <v/>
      </c>
      <c r="O32" s="683" t="str">
        <f>IFERROR(O20*VLOOKUP(O26,'Apoio - Regime de Trabalho'!$A:$I,8,FALSE)/(O21),"")</f>
        <v/>
      </c>
      <c r="P32" s="683" t="str">
        <f>IFERROR(P20*VLOOKUP(P26,'Apoio - Regime de Trabalho'!$A:$I,8,FALSE)/(P21),"")</f>
        <v/>
      </c>
      <c r="Q32" s="683" t="str">
        <f>IFERROR(Q20*VLOOKUP(Q26,'Apoio - Regime de Trabalho'!$A:$I,8,FALSE)/(Q21),"")</f>
        <v/>
      </c>
      <c r="R32" s="683" t="str">
        <f>IFERROR(R20*VLOOKUP(R26,'Apoio - Regime de Trabalho'!$A:$I,8,FALSE)/(R21),"")</f>
        <v/>
      </c>
      <c r="S32" s="683" t="str">
        <f>IFERROR(S20*VLOOKUP(S26,'Apoio - Regime de Trabalho'!$A:$I,8,FALSE)/(S21),"")</f>
        <v/>
      </c>
      <c r="T32" s="683" t="str">
        <f>IFERROR(T20*VLOOKUP(T26,'Apoio - Regime de Trabalho'!$A:$I,8,FALSE)/(T21),"")</f>
        <v/>
      </c>
      <c r="U32" s="683" t="str">
        <f>IFERROR(U20*VLOOKUP(U26,'Apoio - Regime de Trabalho'!$A:$I,8,FALSE)/(U21),"")</f>
        <v/>
      </c>
      <c r="V32" s="683" t="str">
        <f>IFERROR(V20*VLOOKUP(V26,'Apoio - Regime de Trabalho'!$A:$I,8,FALSE)/(V21),"")</f>
        <v/>
      </c>
      <c r="W32" s="683" t="str">
        <f>IFERROR(W20*VLOOKUP(W26,'Apoio - Regime de Trabalho'!$A:$I,8,FALSE)/(W21),"")</f>
        <v/>
      </c>
      <c r="X32" s="683" t="str">
        <f>IFERROR(X20*VLOOKUP(X26,'Apoio - Regime de Trabalho'!$A:$I,8,FALSE)/(X21),"")</f>
        <v/>
      </c>
      <c r="Y32" s="683" t="str">
        <f>IFERROR(Y20*VLOOKUP(Y26,'Apoio - Regime de Trabalho'!$A:$I,8,FALSE)/(Y21),"")</f>
        <v/>
      </c>
      <c r="Z32" s="683" t="str">
        <f>IFERROR(Z20*VLOOKUP(Z26,'Apoio - Regime de Trabalho'!$A:$I,8,FALSE)/(Z21),"")</f>
        <v/>
      </c>
      <c r="AA32" s="683" t="str">
        <f>IFERROR(AA20*VLOOKUP(AA26,'Apoio - Regime de Trabalho'!$A:$I,8,FALSE)/(AA21),"")</f>
        <v/>
      </c>
      <c r="AB32" s="683" t="str">
        <f>IFERROR(AB20*VLOOKUP(AB26,'Apoio - Regime de Trabalho'!$A:$I,8,FALSE)/(AB21),"")</f>
        <v/>
      </c>
      <c r="AC32" s="683" t="str">
        <f>IFERROR(AC20*VLOOKUP(AC26,'Apoio - Regime de Trabalho'!$A:$I,8,FALSE)/(AC21),"")</f>
        <v/>
      </c>
      <c r="AD32" s="683" t="str">
        <f>IFERROR(AD20*VLOOKUP(AD26,'Apoio - Regime de Trabalho'!$A:$I,8,FALSE)/(AD21),"")</f>
        <v/>
      </c>
    </row>
    <row r="33" spans="1:30">
      <c r="A33" s="679"/>
      <c r="B33" s="878" t="s">
        <v>1</v>
      </c>
      <c r="C33" s="684" t="s">
        <v>236</v>
      </c>
      <c r="D33" s="685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</row>
    <row r="34" spans="1:30">
      <c r="A34" s="679"/>
      <c r="B34" s="879"/>
      <c r="C34" s="233" t="s">
        <v>132</v>
      </c>
      <c r="D34" s="686"/>
      <c r="E34" s="687" t="str">
        <f>IFERROR(VLOOKUP(E$18,'Apoio - Posto'!$A:$AA,15,FALSE),"")</f>
        <v/>
      </c>
      <c r="F34" s="687" t="str">
        <f>IFERROR(VLOOKUP(F$18,'Apoio - Posto'!$A:$AA,15,FALSE),"")</f>
        <v/>
      </c>
      <c r="G34" s="687" t="str">
        <f>IFERROR(VLOOKUP(G$18,'Apoio - Posto'!$A:$AA,15,FALSE),"")</f>
        <v/>
      </c>
      <c r="H34" s="687" t="str">
        <f>IFERROR(VLOOKUP(H$18,'Apoio - Posto'!$A:$AA,15,FALSE),"")</f>
        <v/>
      </c>
      <c r="I34" s="687" t="str">
        <f>IFERROR(VLOOKUP(I$18,'Apoio - Posto'!$A:$AA,15,FALSE),"")</f>
        <v/>
      </c>
      <c r="J34" s="687" t="str">
        <f>IFERROR(VLOOKUP(J$18,'Apoio - Posto'!$A:$AA,15,FALSE),"")</f>
        <v/>
      </c>
      <c r="K34" s="687" t="str">
        <f>IFERROR(VLOOKUP(K$18,'Apoio - Posto'!$A:$AA,15,FALSE),"")</f>
        <v/>
      </c>
      <c r="L34" s="687" t="str">
        <f>IFERROR(VLOOKUP(L$18,'Apoio - Posto'!$A:$AA,15,FALSE),"")</f>
        <v/>
      </c>
      <c r="M34" s="687" t="str">
        <f>IFERROR(VLOOKUP(M$18,'Apoio - Posto'!$A:$AA,15,FALSE),"")</f>
        <v/>
      </c>
      <c r="N34" s="687" t="str">
        <f>IFERROR(VLOOKUP(N$18,'Apoio - Posto'!$A:$AA,15,FALSE),"")</f>
        <v/>
      </c>
      <c r="O34" s="687" t="str">
        <f>IFERROR(VLOOKUP(O$18,'Apoio - Posto'!$A:$AA,15,FALSE),"")</f>
        <v/>
      </c>
      <c r="P34" s="687" t="str">
        <f>IFERROR(VLOOKUP(P$18,'Apoio - Posto'!$A:$AA,15,FALSE),"")</f>
        <v/>
      </c>
      <c r="Q34" s="687" t="str">
        <f>IFERROR(VLOOKUP(Q$18,'Apoio - Posto'!$A:$AA,15,FALSE),"")</f>
        <v/>
      </c>
      <c r="R34" s="687" t="str">
        <f>IFERROR(VLOOKUP(R$18,'Apoio - Posto'!$A:$AA,15,FALSE),"")</f>
        <v/>
      </c>
      <c r="S34" s="687" t="str">
        <f>IFERROR(VLOOKUP(S$18,'Apoio - Posto'!$A:$AA,15,FALSE),"")</f>
        <v/>
      </c>
      <c r="T34" s="687" t="str">
        <f>IFERROR(VLOOKUP(T$18,'Apoio - Posto'!$A:$AA,15,FALSE),"")</f>
        <v/>
      </c>
      <c r="U34" s="687" t="str">
        <f>IFERROR(VLOOKUP(U$18,'Apoio - Posto'!$A:$AA,15,FALSE),"")</f>
        <v/>
      </c>
      <c r="V34" s="687" t="str">
        <f>IFERROR(VLOOKUP(V$18,'Apoio - Posto'!$A:$AA,15,FALSE),"")</f>
        <v/>
      </c>
      <c r="W34" s="687" t="str">
        <f>IFERROR(VLOOKUP(W$18,'Apoio - Posto'!$A:$AA,15,FALSE),"")</f>
        <v/>
      </c>
      <c r="X34" s="687" t="str">
        <f>IFERROR(VLOOKUP(X$18,'Apoio - Posto'!$A:$AA,15,FALSE),"")</f>
        <v/>
      </c>
      <c r="Y34" s="687" t="str">
        <f>IFERROR(VLOOKUP(Y$18,'Apoio - Posto'!$A:$AA,15,FALSE),"")</f>
        <v/>
      </c>
      <c r="Z34" s="687" t="str">
        <f>IFERROR(VLOOKUP(Z$18,'Apoio - Posto'!$A:$AA,15,FALSE),"")</f>
        <v/>
      </c>
      <c r="AA34" s="687" t="str">
        <f>IFERROR(VLOOKUP(AA$18,'Apoio - Posto'!$A:$AA,15,FALSE),"")</f>
        <v/>
      </c>
      <c r="AB34" s="687" t="str">
        <f>IFERROR(VLOOKUP(AB$18,'Apoio - Posto'!$A:$AA,15,FALSE),"")</f>
        <v/>
      </c>
      <c r="AC34" s="687" t="str">
        <f>IFERROR(VLOOKUP(AC$18,'Apoio - Posto'!$A:$AA,15,FALSE),"")</f>
        <v/>
      </c>
      <c r="AD34" s="687" t="str">
        <f>IFERROR(VLOOKUP(AD$18,'Apoio - Posto'!$A:$AA,15,FALSE),"")</f>
        <v/>
      </c>
    </row>
    <row r="35" spans="1:30">
      <c r="A35" s="679"/>
      <c r="B35" s="880"/>
      <c r="C35" s="688"/>
      <c r="D35" s="689" t="s">
        <v>43</v>
      </c>
      <c r="E35" s="204" t="str">
        <f>IFERROR((E32)*E34,"")</f>
        <v/>
      </c>
      <c r="F35" s="204" t="str">
        <f t="shared" ref="F35:H35" si="2">IFERROR((F32)*F34,"")</f>
        <v/>
      </c>
      <c r="G35" s="204" t="str">
        <f t="shared" si="2"/>
        <v/>
      </c>
      <c r="H35" s="204" t="str">
        <f t="shared" si="2"/>
        <v/>
      </c>
      <c r="I35" s="204" t="str">
        <f t="shared" ref="I35:N35" si="3">IFERROR((I32)*I34,"")</f>
        <v/>
      </c>
      <c r="J35" s="204" t="str">
        <f t="shared" si="3"/>
        <v/>
      </c>
      <c r="K35" s="204" t="str">
        <f t="shared" si="3"/>
        <v/>
      </c>
      <c r="L35" s="204" t="str">
        <f t="shared" si="3"/>
        <v/>
      </c>
      <c r="M35" s="204" t="str">
        <f t="shared" si="3"/>
        <v/>
      </c>
      <c r="N35" s="204" t="str">
        <f t="shared" si="3"/>
        <v/>
      </c>
      <c r="O35" s="204" t="str">
        <f t="shared" ref="O35:AD35" si="4">IFERROR((O32)*O34,"")</f>
        <v/>
      </c>
      <c r="P35" s="204" t="str">
        <f t="shared" si="4"/>
        <v/>
      </c>
      <c r="Q35" s="204" t="str">
        <f t="shared" si="4"/>
        <v/>
      </c>
      <c r="R35" s="204" t="str">
        <f t="shared" si="4"/>
        <v/>
      </c>
      <c r="S35" s="204" t="str">
        <f t="shared" si="4"/>
        <v/>
      </c>
      <c r="T35" s="204" t="str">
        <f t="shared" si="4"/>
        <v/>
      </c>
      <c r="U35" s="204" t="str">
        <f t="shared" si="4"/>
        <v/>
      </c>
      <c r="V35" s="204" t="str">
        <f t="shared" si="4"/>
        <v/>
      </c>
      <c r="W35" s="204" t="str">
        <f t="shared" si="4"/>
        <v/>
      </c>
      <c r="X35" s="204" t="str">
        <f t="shared" si="4"/>
        <v/>
      </c>
      <c r="Y35" s="204" t="str">
        <f t="shared" si="4"/>
        <v/>
      </c>
      <c r="Z35" s="204" t="str">
        <f t="shared" si="4"/>
        <v/>
      </c>
      <c r="AA35" s="204" t="str">
        <f t="shared" si="4"/>
        <v/>
      </c>
      <c r="AB35" s="204" t="str">
        <f t="shared" si="4"/>
        <v/>
      </c>
      <c r="AC35" s="204" t="str">
        <f t="shared" si="4"/>
        <v/>
      </c>
      <c r="AD35" s="204" t="str">
        <f t="shared" si="4"/>
        <v/>
      </c>
    </row>
    <row r="36" spans="1:30">
      <c r="A36" s="679"/>
      <c r="B36" s="866" t="s">
        <v>0</v>
      </c>
      <c r="C36" s="690" t="s">
        <v>237</v>
      </c>
      <c r="D36" s="691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</row>
    <row r="37" spans="1:30">
      <c r="A37" s="679"/>
      <c r="B37" s="866"/>
      <c r="C37" s="692" t="s">
        <v>92</v>
      </c>
      <c r="D37" s="693"/>
      <c r="E37" s="694"/>
      <c r="F37" s="694"/>
      <c r="G37" s="694" t="str">
        <f>IFERROR(VLOOKUP(G$18,'Apoio - Posto'!$A:$AA,14,FALSE),"")</f>
        <v/>
      </c>
      <c r="H37" s="694" t="str">
        <f>IFERROR(VLOOKUP(H$18,'Apoio - Posto'!$A:$AA,14,FALSE),"")</f>
        <v/>
      </c>
      <c r="I37" s="694" t="str">
        <f>IFERROR(VLOOKUP(I$18,'Apoio - Posto'!$A:$AA,14,FALSE),"")</f>
        <v/>
      </c>
      <c r="J37" s="694" t="str">
        <f>IFERROR(VLOOKUP(J$18,'Apoio - Posto'!$A:$AA,14,FALSE),"")</f>
        <v/>
      </c>
      <c r="K37" s="694" t="str">
        <f>IFERROR(VLOOKUP(K$18,'Apoio - Posto'!$A:$AA,14,FALSE),"")</f>
        <v/>
      </c>
      <c r="L37" s="694" t="str">
        <f>IFERROR(VLOOKUP(L$18,'Apoio - Posto'!$A:$AA,14,FALSE),"")</f>
        <v/>
      </c>
      <c r="M37" s="694" t="str">
        <f>IFERROR(VLOOKUP(M$18,'Apoio - Posto'!$A:$AA,14,FALSE),"")</f>
        <v/>
      </c>
      <c r="N37" s="694" t="str">
        <f>IFERROR(VLOOKUP(N$18,'Apoio - Posto'!$A:$AA,14,FALSE),"")</f>
        <v/>
      </c>
      <c r="O37" s="694" t="str">
        <f>IFERROR(VLOOKUP(O$18,'Apoio - Posto'!$A:$AA,14,FALSE),"")</f>
        <v/>
      </c>
      <c r="P37" s="694" t="str">
        <f>IFERROR(VLOOKUP(P$18,'Apoio - Posto'!$A:$AA,14,FALSE),"")</f>
        <v/>
      </c>
      <c r="Q37" s="694" t="str">
        <f>IFERROR(VLOOKUP(Q$18,'Apoio - Posto'!$A:$AA,14,FALSE),"")</f>
        <v/>
      </c>
      <c r="R37" s="694" t="str">
        <f>IFERROR(VLOOKUP(R$18,'Apoio - Posto'!$A:$AA,14,FALSE),"")</f>
        <v/>
      </c>
      <c r="S37" s="694" t="str">
        <f>IFERROR(VLOOKUP(S$18,'Apoio - Posto'!$A:$AA,14,FALSE),"")</f>
        <v/>
      </c>
      <c r="T37" s="694" t="str">
        <f>IFERROR(VLOOKUP(T$18,'Apoio - Posto'!$A:$AA,14,FALSE),"")</f>
        <v/>
      </c>
      <c r="U37" s="694" t="str">
        <f>IFERROR(VLOOKUP(U$18,'Apoio - Posto'!$A:$AA,14,FALSE),"")</f>
        <v/>
      </c>
      <c r="V37" s="694" t="str">
        <f>IFERROR(VLOOKUP(V$18,'Apoio - Posto'!$A:$AA,14,FALSE),"")</f>
        <v/>
      </c>
      <c r="W37" s="694" t="str">
        <f>IFERROR(VLOOKUP(W$18,'Apoio - Posto'!$A:$AA,14,FALSE),"")</f>
        <v/>
      </c>
      <c r="X37" s="694" t="str">
        <f>IFERROR(VLOOKUP(X$18,'Apoio - Posto'!$A:$AA,14,FALSE),"")</f>
        <v/>
      </c>
      <c r="Y37" s="694" t="str">
        <f>IFERROR(VLOOKUP(Y$18,'Apoio - Posto'!$A:$AA,14,FALSE),"")</f>
        <v/>
      </c>
      <c r="Z37" s="694" t="str">
        <f>IFERROR(VLOOKUP(Z$18,'Apoio - Posto'!$A:$AA,14,FALSE),"")</f>
        <v/>
      </c>
      <c r="AA37" s="694" t="str">
        <f>IFERROR(VLOOKUP(AA$18,'Apoio - Posto'!$A:$AA,14,FALSE),"")</f>
        <v/>
      </c>
      <c r="AB37" s="694" t="str">
        <f>IFERROR(VLOOKUP(AB$18,'Apoio - Posto'!$A:$AA,14,FALSE),"")</f>
        <v/>
      </c>
      <c r="AC37" s="694" t="str">
        <f>IFERROR(VLOOKUP(AC$18,'Apoio - Posto'!$A:$AA,14,FALSE),"")</f>
        <v/>
      </c>
      <c r="AD37" s="694" t="str">
        <f>IFERROR(VLOOKUP(AD$18,'Apoio - Posto'!$A:$AA,14,FALSE),"")</f>
        <v/>
      </c>
    </row>
    <row r="38" spans="1:30">
      <c r="A38" s="679"/>
      <c r="B38" s="866"/>
      <c r="C38" s="695" t="s">
        <v>93</v>
      </c>
      <c r="D38" s="696"/>
      <c r="E38" s="697"/>
      <c r="F38" s="697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  <c r="U38" s="698"/>
      <c r="V38" s="698"/>
      <c r="W38" s="698"/>
      <c r="X38" s="698"/>
      <c r="Y38" s="698"/>
      <c r="Z38" s="698"/>
      <c r="AA38" s="698"/>
      <c r="AB38" s="698"/>
      <c r="AC38" s="698"/>
      <c r="AD38" s="698"/>
    </row>
    <row r="39" spans="1:30">
      <c r="A39" s="679"/>
      <c r="B39" s="867"/>
      <c r="C39" s="92"/>
      <c r="D39" s="689" t="s">
        <v>43</v>
      </c>
      <c r="E39" s="204">
        <f>IF(E20="","",IFERROR(IF(E37="Salário Base",E$32,IF(E37="Salário Mínimo",$D$15,0))*E38,""))</f>
        <v>0</v>
      </c>
      <c r="F39" s="204">
        <f t="shared" ref="F39:H39" si="5">IF(F20="","",IFERROR(IF(F37="Salário Base",F$32,IF(F37="Salário Mínimo",$D$15,0))*F38,""))</f>
        <v>0</v>
      </c>
      <c r="G39" s="204" t="str">
        <f t="shared" si="5"/>
        <v/>
      </c>
      <c r="H39" s="204" t="str">
        <f t="shared" si="5"/>
        <v/>
      </c>
      <c r="I39" s="204" t="str">
        <f t="shared" ref="I39:N39" si="6">IF(I20="","",IFERROR(IF(I37="Salário Base",I$32,IF(I37="Salário Mínimo",$D$15,0))*I38,""))</f>
        <v/>
      </c>
      <c r="J39" s="204" t="str">
        <f t="shared" si="6"/>
        <v/>
      </c>
      <c r="K39" s="204" t="str">
        <f t="shared" si="6"/>
        <v/>
      </c>
      <c r="L39" s="204" t="str">
        <f t="shared" si="6"/>
        <v/>
      </c>
      <c r="M39" s="204" t="str">
        <f t="shared" si="6"/>
        <v/>
      </c>
      <c r="N39" s="204" t="str">
        <f t="shared" si="6"/>
        <v/>
      </c>
      <c r="O39" s="204" t="str">
        <f t="shared" ref="O39:AD39" si="7">IF(O20="","",IFERROR(IF(O37="Salário Base",O$32,IF(O37="Salário Mínimo",$D$15,0))*O38,""))</f>
        <v/>
      </c>
      <c r="P39" s="204" t="str">
        <f t="shared" si="7"/>
        <v/>
      </c>
      <c r="Q39" s="204" t="str">
        <f t="shared" si="7"/>
        <v/>
      </c>
      <c r="R39" s="204" t="str">
        <f t="shared" si="7"/>
        <v/>
      </c>
      <c r="S39" s="204" t="str">
        <f t="shared" si="7"/>
        <v/>
      </c>
      <c r="T39" s="204" t="str">
        <f t="shared" si="7"/>
        <v/>
      </c>
      <c r="U39" s="204" t="str">
        <f t="shared" si="7"/>
        <v/>
      </c>
      <c r="V39" s="204" t="str">
        <f t="shared" si="7"/>
        <v/>
      </c>
      <c r="W39" s="204" t="str">
        <f t="shared" si="7"/>
        <v/>
      </c>
      <c r="X39" s="204" t="str">
        <f t="shared" si="7"/>
        <v/>
      </c>
      <c r="Y39" s="204" t="str">
        <f t="shared" si="7"/>
        <v/>
      </c>
      <c r="Z39" s="204" t="str">
        <f t="shared" si="7"/>
        <v/>
      </c>
      <c r="AA39" s="204" t="str">
        <f t="shared" si="7"/>
        <v/>
      </c>
      <c r="AB39" s="204" t="str">
        <f t="shared" si="7"/>
        <v/>
      </c>
      <c r="AC39" s="204" t="str">
        <f t="shared" si="7"/>
        <v/>
      </c>
      <c r="AD39" s="204" t="str">
        <f t="shared" si="7"/>
        <v/>
      </c>
    </row>
    <row r="40" spans="1:30">
      <c r="A40" s="699"/>
      <c r="B40" s="878" t="s">
        <v>3</v>
      </c>
      <c r="C40" s="684" t="s">
        <v>83</v>
      </c>
      <c r="D40" s="700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</row>
    <row r="41" spans="1:30">
      <c r="A41" s="699"/>
      <c r="B41" s="879"/>
      <c r="C41" s="701" t="s">
        <v>93</v>
      </c>
      <c r="D41" s="686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</row>
    <row r="42" spans="1:30">
      <c r="A42" s="699"/>
      <c r="B42" s="880"/>
      <c r="C42" s="92"/>
      <c r="D42" s="689" t="s">
        <v>43</v>
      </c>
      <c r="E42" s="204">
        <f>IFERROR(E41*E$32,"")</f>
        <v>0</v>
      </c>
      <c r="F42" s="204">
        <f t="shared" ref="F42:H42" si="8">IFERROR(F41*F$32,"")</f>
        <v>0</v>
      </c>
      <c r="G42" s="204" t="str">
        <f t="shared" si="8"/>
        <v/>
      </c>
      <c r="H42" s="204" t="str">
        <f t="shared" si="8"/>
        <v/>
      </c>
      <c r="I42" s="204" t="str">
        <f t="shared" ref="I42:N42" si="9">IFERROR(I41*I$32,"")</f>
        <v/>
      </c>
      <c r="J42" s="204" t="str">
        <f t="shared" si="9"/>
        <v/>
      </c>
      <c r="K42" s="204" t="str">
        <f t="shared" si="9"/>
        <v/>
      </c>
      <c r="L42" s="204" t="str">
        <f t="shared" si="9"/>
        <v/>
      </c>
      <c r="M42" s="204" t="str">
        <f t="shared" si="9"/>
        <v/>
      </c>
      <c r="N42" s="204" t="str">
        <f t="shared" si="9"/>
        <v/>
      </c>
      <c r="O42" s="204" t="str">
        <f t="shared" ref="O42:AD42" si="10">IFERROR(O41*O$32,"")</f>
        <v/>
      </c>
      <c r="P42" s="204" t="str">
        <f t="shared" si="10"/>
        <v/>
      </c>
      <c r="Q42" s="204" t="str">
        <f t="shared" si="10"/>
        <v/>
      </c>
      <c r="R42" s="204" t="str">
        <f t="shared" si="10"/>
        <v/>
      </c>
      <c r="S42" s="204" t="str">
        <f t="shared" si="10"/>
        <v/>
      </c>
      <c r="T42" s="204" t="str">
        <f t="shared" si="10"/>
        <v/>
      </c>
      <c r="U42" s="204" t="str">
        <f t="shared" si="10"/>
        <v/>
      </c>
      <c r="V42" s="204" t="str">
        <f t="shared" si="10"/>
        <v/>
      </c>
      <c r="W42" s="204" t="str">
        <f t="shared" si="10"/>
        <v/>
      </c>
      <c r="X42" s="204" t="str">
        <f t="shared" si="10"/>
        <v/>
      </c>
      <c r="Y42" s="204" t="str">
        <f t="shared" si="10"/>
        <v/>
      </c>
      <c r="Z42" s="204" t="str">
        <f t="shared" si="10"/>
        <v/>
      </c>
      <c r="AA42" s="204" t="str">
        <f t="shared" si="10"/>
        <v/>
      </c>
      <c r="AB42" s="204" t="str">
        <f t="shared" si="10"/>
        <v/>
      </c>
      <c r="AC42" s="204" t="str">
        <f t="shared" si="10"/>
        <v/>
      </c>
      <c r="AD42" s="204" t="str">
        <f t="shared" si="10"/>
        <v/>
      </c>
    </row>
    <row r="43" spans="1:30">
      <c r="A43" s="679"/>
      <c r="B43" s="866" t="s">
        <v>7</v>
      </c>
      <c r="C43" s="703" t="s">
        <v>62</v>
      </c>
      <c r="D43" s="704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</row>
    <row r="44" spans="1:30">
      <c r="A44" s="679"/>
      <c r="B44" s="866"/>
      <c r="C44" s="692" t="s">
        <v>87</v>
      </c>
      <c r="D44" s="705"/>
      <c r="E44" s="706" t="str">
        <f>IF(AND(E19=5173,E26="12x36 Noturno"),8,"")</f>
        <v/>
      </c>
      <c r="F44" s="706">
        <v>7</v>
      </c>
      <c r="G44" s="706" t="str">
        <f t="shared" ref="G44:H44" si="11">IF(AND(G19=5173,G26="12x36 Noturno"),8,"")</f>
        <v/>
      </c>
      <c r="H44" s="706" t="str">
        <f t="shared" si="11"/>
        <v/>
      </c>
      <c r="I44" s="706" t="str">
        <f t="shared" ref="I44:N44" si="12">IF(AND(I19=5173,I26="12x36 Noturno"),8,"")</f>
        <v/>
      </c>
      <c r="J44" s="706" t="str">
        <f t="shared" si="12"/>
        <v/>
      </c>
      <c r="K44" s="706" t="str">
        <f t="shared" si="12"/>
        <v/>
      </c>
      <c r="L44" s="706" t="str">
        <f t="shared" si="12"/>
        <v/>
      </c>
      <c r="M44" s="706" t="str">
        <f t="shared" si="12"/>
        <v/>
      </c>
      <c r="N44" s="706" t="str">
        <f t="shared" si="12"/>
        <v/>
      </c>
      <c r="O44" s="706" t="str">
        <f t="shared" ref="O44:AD44" si="13">IF(AND(O19=5173,O26="12x36 Noturno"),8,"")</f>
        <v/>
      </c>
      <c r="P44" s="706" t="str">
        <f t="shared" si="13"/>
        <v/>
      </c>
      <c r="Q44" s="706" t="str">
        <f t="shared" si="13"/>
        <v/>
      </c>
      <c r="R44" s="706" t="str">
        <f t="shared" si="13"/>
        <v/>
      </c>
      <c r="S44" s="706" t="str">
        <f t="shared" si="13"/>
        <v/>
      </c>
      <c r="T44" s="706" t="str">
        <f t="shared" si="13"/>
        <v/>
      </c>
      <c r="U44" s="706" t="str">
        <f t="shared" si="13"/>
        <v/>
      </c>
      <c r="V44" s="706" t="str">
        <f t="shared" si="13"/>
        <v/>
      </c>
      <c r="W44" s="706" t="str">
        <f t="shared" si="13"/>
        <v/>
      </c>
      <c r="X44" s="706" t="str">
        <f t="shared" si="13"/>
        <v/>
      </c>
      <c r="Y44" s="706" t="str">
        <f t="shared" si="13"/>
        <v/>
      </c>
      <c r="Z44" s="706" t="str">
        <f t="shared" si="13"/>
        <v/>
      </c>
      <c r="AA44" s="706" t="str">
        <f t="shared" si="13"/>
        <v/>
      </c>
      <c r="AB44" s="706" t="str">
        <f t="shared" si="13"/>
        <v/>
      </c>
      <c r="AC44" s="706" t="str">
        <f t="shared" si="13"/>
        <v/>
      </c>
      <c r="AD44" s="706" t="str">
        <f t="shared" si="13"/>
        <v/>
      </c>
    </row>
    <row r="45" spans="1:30">
      <c r="A45" s="679"/>
      <c r="B45" s="866"/>
      <c r="C45" s="695" t="s">
        <v>169</v>
      </c>
      <c r="D45" s="707"/>
      <c r="E45" s="708" t="str">
        <f>IF(E44="","",VLOOKUP(E26,'Apoio - Regime de Trabalho'!$A:$I,7,FALSE))</f>
        <v/>
      </c>
      <c r="F45" s="708">
        <f>IF(F44="","",VLOOKUP(F26,'Apoio - Regime de Trabalho'!$A:$I,7,FALSE))</f>
        <v>15</v>
      </c>
      <c r="G45" s="708" t="str">
        <f>IF(G44="","",VLOOKUP(G26,'Apoio - Regime de Trabalho'!$A:$I,7,FALSE))</f>
        <v/>
      </c>
      <c r="H45" s="708" t="str">
        <f>IF(H44="","",VLOOKUP(H26,'Apoio - Regime de Trabalho'!$A:$I,7,FALSE))</f>
        <v/>
      </c>
      <c r="I45" s="708" t="str">
        <f>IF(I44="","",VLOOKUP(I26,'Apoio - Regime de Trabalho'!$A:$I,7,FALSE))</f>
        <v/>
      </c>
      <c r="J45" s="708" t="str">
        <f>IF(J44="","",VLOOKUP(J26,'Apoio - Regime de Trabalho'!$A:$I,7,FALSE))</f>
        <v/>
      </c>
      <c r="K45" s="708" t="str">
        <f>IF(K44="","",VLOOKUP(K26,'Apoio - Regime de Trabalho'!$A:$I,7,FALSE))</f>
        <v/>
      </c>
      <c r="L45" s="708" t="str">
        <f>IF(L44="","",VLOOKUP(L26,'Apoio - Regime de Trabalho'!$A:$I,7,FALSE))</f>
        <v/>
      </c>
      <c r="M45" s="708" t="str">
        <f>IF(M44="","",VLOOKUP(M26,'Apoio - Regime de Trabalho'!$A:$I,7,FALSE))</f>
        <v/>
      </c>
      <c r="N45" s="708" t="str">
        <f>IF(N44="","",VLOOKUP(N26,'Apoio - Regime de Trabalho'!$A:$I,7,FALSE))</f>
        <v/>
      </c>
      <c r="O45" s="708" t="str">
        <f>IF(O44="","",VLOOKUP(O26,'Apoio - Regime de Trabalho'!$A:$I,7,FALSE))</f>
        <v/>
      </c>
      <c r="P45" s="708" t="str">
        <f>IF(P44="","",VLOOKUP(P26,'Apoio - Regime de Trabalho'!$A:$I,7,FALSE))</f>
        <v/>
      </c>
      <c r="Q45" s="708" t="str">
        <f>IF(Q44="","",VLOOKUP(Q26,'Apoio - Regime de Trabalho'!$A:$I,7,FALSE))</f>
        <v/>
      </c>
      <c r="R45" s="708" t="str">
        <f>IF(R44="","",VLOOKUP(R26,'Apoio - Regime de Trabalho'!$A:$I,7,FALSE))</f>
        <v/>
      </c>
      <c r="S45" s="708" t="str">
        <f>IF(S44="","",VLOOKUP(S26,'Apoio - Regime de Trabalho'!$A:$I,7,FALSE))</f>
        <v/>
      </c>
      <c r="T45" s="708" t="str">
        <f>IF(T44="","",VLOOKUP(T26,'Apoio - Regime de Trabalho'!$A:$I,7,FALSE))</f>
        <v/>
      </c>
      <c r="U45" s="708" t="str">
        <f>IF(U44="","",VLOOKUP(U26,'Apoio - Regime de Trabalho'!$A:$I,7,FALSE))</f>
        <v/>
      </c>
      <c r="V45" s="708" t="str">
        <f>IF(V44="","",VLOOKUP(V26,'Apoio - Regime de Trabalho'!$A:$I,7,FALSE))</f>
        <v/>
      </c>
      <c r="W45" s="708" t="str">
        <f>IF(W44="","",VLOOKUP(W26,'Apoio - Regime de Trabalho'!$A:$I,7,FALSE))</f>
        <v/>
      </c>
      <c r="X45" s="708" t="str">
        <f>IF(X44="","",VLOOKUP(X26,'Apoio - Regime de Trabalho'!$A:$I,7,FALSE))</f>
        <v/>
      </c>
      <c r="Y45" s="708" t="str">
        <f>IF(Y44="","",VLOOKUP(Y26,'Apoio - Regime de Trabalho'!$A:$I,7,FALSE))</f>
        <v/>
      </c>
      <c r="Z45" s="708" t="str">
        <f>IF(Z44="","",VLOOKUP(Z26,'Apoio - Regime de Trabalho'!$A:$I,7,FALSE))</f>
        <v/>
      </c>
      <c r="AA45" s="708" t="str">
        <f>IF(AA44="","",VLOOKUP(AA26,'Apoio - Regime de Trabalho'!$A:$I,7,FALSE))</f>
        <v/>
      </c>
      <c r="AB45" s="708" t="str">
        <f>IF(AB44="","",VLOOKUP(AB26,'Apoio - Regime de Trabalho'!$A:$I,7,FALSE))</f>
        <v/>
      </c>
      <c r="AC45" s="708" t="str">
        <f>IF(AC44="","",VLOOKUP(AC26,'Apoio - Regime de Trabalho'!$A:$I,7,FALSE))</f>
        <v/>
      </c>
      <c r="AD45" s="708" t="str">
        <f>IF(AD44="","",VLOOKUP(AD26,'Apoio - Regime de Trabalho'!$A:$I,7,FALSE))</f>
        <v/>
      </c>
    </row>
    <row r="46" spans="1:30">
      <c r="A46" s="679"/>
      <c r="B46" s="867"/>
      <c r="C46" s="709"/>
      <c r="D46" s="689" t="s">
        <v>43</v>
      </c>
      <c r="E46" s="710" t="str">
        <f>IFERROR(SUM(E$32,E$35,E$39)/(VLOOKUP(E$26,'Apoio - Regime de Trabalho'!$A:$I,8,FALSE))*20%*E$44*E$45,"")</f>
        <v/>
      </c>
      <c r="F46" s="710">
        <f>IFERROR(SUM(F$32,F$35,F$39)/(VLOOKUP(F$26,'Apoio - Regime de Trabalho'!$A:$I,8,FALSE))*20%*F$44*F$45,"")</f>
        <v>278.28990000000005</v>
      </c>
      <c r="G46" s="710" t="str">
        <f>IFERROR(SUM(G$32,G$35,G$39)/(VLOOKUP(G$26,'Apoio - Regime de Trabalho'!$A:$I,8,FALSE))*20%*G$44*G$45,"")</f>
        <v/>
      </c>
      <c r="H46" s="710" t="str">
        <f>IFERROR(SUM(H$32,H$35,H$39)/(VLOOKUP(H$26,'Apoio - Regime de Trabalho'!$A:$I,8,FALSE))*20%*H$44*H$45,"")</f>
        <v/>
      </c>
      <c r="I46" s="710" t="str">
        <f>IFERROR(SUM(I$32,I$35,I$39)/(VLOOKUP(I$26,'Apoio - Regime de Trabalho'!$A:$I,8,FALSE))*20%*I$44*I$45,"")</f>
        <v/>
      </c>
      <c r="J46" s="710" t="str">
        <f>IFERROR(SUM(J$32,J$35,J$39)/(VLOOKUP(J$26,'Apoio - Regime de Trabalho'!$A:$I,8,FALSE))*20%*J$44*J$45,"")</f>
        <v/>
      </c>
      <c r="K46" s="710" t="str">
        <f>IFERROR(SUM(K$32,K$35,K$39)/(VLOOKUP(K$26,'Apoio - Regime de Trabalho'!$A:$I,8,FALSE))*20%*K$44*K$45,"")</f>
        <v/>
      </c>
      <c r="L46" s="710" t="str">
        <f>IFERROR(SUM(L$32,L$35,L$39)/(VLOOKUP(L$26,'Apoio - Regime de Trabalho'!$A:$I,8,FALSE))*20%*L$44*L$45,"")</f>
        <v/>
      </c>
      <c r="M46" s="710" t="str">
        <f>IFERROR(SUM(M$32,M$35,M$39)/(VLOOKUP(M$26,'Apoio - Regime de Trabalho'!$A:$I,8,FALSE))*20%*M$44*M$45,"")</f>
        <v/>
      </c>
      <c r="N46" s="710" t="str">
        <f>IFERROR(SUM(N$32,N$35,N$39)/(VLOOKUP(N$26,'Apoio - Regime de Trabalho'!$A:$I,8,FALSE))*20%*N$44*N$45,"")</f>
        <v/>
      </c>
      <c r="O46" s="710" t="str">
        <f>IFERROR(SUM(O$32,O$35,O$39)/(VLOOKUP(O$26,'Apoio - Regime de Trabalho'!$A:$I,8,FALSE))*20%*O$44*O$45,"")</f>
        <v/>
      </c>
      <c r="P46" s="710" t="str">
        <f>IFERROR(SUM(P$32,P$35,P$39)/(VLOOKUP(P$26,'Apoio - Regime de Trabalho'!$A:$I,8,FALSE))*20%*P$44*P$45,"")</f>
        <v/>
      </c>
      <c r="Q46" s="710" t="str">
        <f>IFERROR(SUM(Q$32,Q$35,Q$39)/(VLOOKUP(Q$26,'Apoio - Regime de Trabalho'!$A:$I,8,FALSE))*20%*Q$44*Q$45,"")</f>
        <v/>
      </c>
      <c r="R46" s="710" t="str">
        <f>IFERROR(SUM(R$32,R$35,R$39)/(VLOOKUP(R$26,'Apoio - Regime de Trabalho'!$A:$I,8,FALSE))*20%*R$44*R$45,"")</f>
        <v/>
      </c>
      <c r="S46" s="710" t="str">
        <f>IFERROR(SUM(S$32,S$35,S$39)/(VLOOKUP(S$26,'Apoio - Regime de Trabalho'!$A:$I,8,FALSE))*20%*S$44*S$45,"")</f>
        <v/>
      </c>
      <c r="T46" s="710" t="str">
        <f>IFERROR(SUM(T$32,T$35,T$39)/(VLOOKUP(T$26,'Apoio - Regime de Trabalho'!$A:$I,8,FALSE))*20%*T$44*T$45,"")</f>
        <v/>
      </c>
      <c r="U46" s="710" t="str">
        <f>IFERROR(SUM(U$32,U$35,U$39)/(VLOOKUP(U$26,'Apoio - Regime de Trabalho'!$A:$I,8,FALSE))*20%*U$44*U$45,"")</f>
        <v/>
      </c>
      <c r="V46" s="710" t="str">
        <f>IFERROR(SUM(V$32,V$35,V$39)/(VLOOKUP(V$26,'Apoio - Regime de Trabalho'!$A:$I,8,FALSE))*20%*V$44*V$45,"")</f>
        <v/>
      </c>
      <c r="W46" s="710" t="str">
        <f>IFERROR(SUM(W$32,W$35,W$39)/(VLOOKUP(W$26,'Apoio - Regime de Trabalho'!$A:$I,8,FALSE))*20%*W$44*W$45,"")</f>
        <v/>
      </c>
      <c r="X46" s="710" t="str">
        <f>IFERROR(SUM(X$32,X$35,X$39)/(VLOOKUP(X$26,'Apoio - Regime de Trabalho'!$A:$I,8,FALSE))*20%*X$44*X$45,"")</f>
        <v/>
      </c>
      <c r="Y46" s="710" t="str">
        <f>IFERROR(SUM(Y$32,Y$35,Y$39)/(VLOOKUP(Y$26,'Apoio - Regime de Trabalho'!$A:$I,8,FALSE))*20%*Y$44*Y$45,"")</f>
        <v/>
      </c>
      <c r="Z46" s="710" t="str">
        <f>IFERROR(SUM(Z$32,Z$35,Z$39)/(VLOOKUP(Z$26,'Apoio - Regime de Trabalho'!$A:$I,8,FALSE))*20%*Z$44*Z$45,"")</f>
        <v/>
      </c>
      <c r="AA46" s="710" t="str">
        <f>IFERROR(SUM(AA$32,AA$35,AA$39)/(VLOOKUP(AA$26,'Apoio - Regime de Trabalho'!$A:$I,8,FALSE))*20%*AA$44*AA$45,"")</f>
        <v/>
      </c>
      <c r="AB46" s="710" t="str">
        <f>IFERROR(SUM(AB$32,AB$35,AB$39)/(VLOOKUP(AB$26,'Apoio - Regime de Trabalho'!$A:$I,8,FALSE))*20%*AB$44*AB$45,"")</f>
        <v/>
      </c>
      <c r="AC46" s="710" t="str">
        <f>IFERROR(SUM(AC$32,AC$35,AC$39)/(VLOOKUP(AC$26,'Apoio - Regime de Trabalho'!$A:$I,8,FALSE))*20%*AC$44*AC$45,"")</f>
        <v/>
      </c>
      <c r="AD46" s="710" t="str">
        <f>IFERROR(SUM(AD$32,AD$35,AD$39)/(VLOOKUP(AD$26,'Apoio - Regime de Trabalho'!$A:$I,8,FALSE))*20%*AD$44*AD$45,"")</f>
        <v/>
      </c>
    </row>
    <row r="47" spans="1:30">
      <c r="A47" s="679"/>
      <c r="B47" s="868" t="s">
        <v>6</v>
      </c>
      <c r="C47" s="711" t="s">
        <v>167</v>
      </c>
      <c r="D47" s="700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</row>
    <row r="48" spans="1:30">
      <c r="A48" s="712"/>
      <c r="B48" s="869"/>
      <c r="C48" s="713" t="s">
        <v>19</v>
      </c>
      <c r="D48" s="686"/>
      <c r="E48" s="714" t="str">
        <f>IF(E44="","",E45*E44*('Apoio - Notas Explicativas'!$D$9/'Apoio - Notas Explicativas'!$D$10-1)
*IF(AND(E19=5173,E26="12x36 Noturno"),0,1))</f>
        <v/>
      </c>
      <c r="F48" s="714">
        <f>IF(F44="","",F45*F44*('Apoio - Notas Explicativas'!$D$9/'Apoio - Notas Explicativas'!$D$10-1)
*IF(AND(F19=5173,F26="12x36 Noturno"),0,1))</f>
        <v>14.999999999999993</v>
      </c>
      <c r="G48" s="714" t="str">
        <f>IF(G44="","",G45*G44*('Apoio - Notas Explicativas'!$D$9/'Apoio - Notas Explicativas'!$D$10-1)
*IF(AND(G19=5173,G26="12x36 Noturno"),0,1))</f>
        <v/>
      </c>
      <c r="H48" s="714" t="str">
        <f>IF(H44="","",H45*H44*('Apoio - Notas Explicativas'!$D$9/'Apoio - Notas Explicativas'!$D$10-1)
*IF(AND(H19=5173,H26="12x36 Noturno"),0,1))</f>
        <v/>
      </c>
      <c r="I48" s="714" t="str">
        <f>IF(I44="","",I45*I44*('Apoio - Notas Explicativas'!$D$9/'Apoio - Notas Explicativas'!$D$10-1)
*IF(AND(I19=5173,I26="12x36 Noturno"),0,1))</f>
        <v/>
      </c>
      <c r="J48" s="714" t="str">
        <f>IF(J44="","",J45*J44*('Apoio - Notas Explicativas'!$D$9/'Apoio - Notas Explicativas'!$D$10-1)
*IF(AND(J19=5173,J26="12x36 Noturno"),0,1))</f>
        <v/>
      </c>
      <c r="K48" s="714" t="str">
        <f>IF(K44="","",K45*K44*('Apoio - Notas Explicativas'!$D$9/'Apoio - Notas Explicativas'!$D$10-1)
*IF(AND(K19=5173,K26="12x36 Noturno"),0,1))</f>
        <v/>
      </c>
      <c r="L48" s="714" t="str">
        <f>IF(L44="","",L45*L44*('Apoio - Notas Explicativas'!$D$9/'Apoio - Notas Explicativas'!$D$10-1)
*IF(AND(L19=5173,L26="12x36 Noturno"),0,1))</f>
        <v/>
      </c>
      <c r="M48" s="714" t="str">
        <f>IF(M44="","",M45*M44*('Apoio - Notas Explicativas'!$D$9/'Apoio - Notas Explicativas'!$D$10-1)
*IF(AND(M19=5173,M26="12x36 Noturno"),0,1))</f>
        <v/>
      </c>
      <c r="N48" s="714" t="str">
        <f>IF(N44="","",N45*N44*('Apoio - Notas Explicativas'!$D$9/'Apoio - Notas Explicativas'!$D$10-1)
*IF(AND(N19=5173,N26="12x36 Noturno"),0,1))</f>
        <v/>
      </c>
      <c r="O48" s="714" t="str">
        <f>IF(O44="","",O45*O44*('Apoio - Notas Explicativas'!$D$9/'Apoio - Notas Explicativas'!$D$10-1)
*IF(AND(O19=5173,O26="12x36 Noturno"),0,1))</f>
        <v/>
      </c>
      <c r="P48" s="714" t="str">
        <f>IF(P44="","",P45*P44*('Apoio - Notas Explicativas'!$D$9/'Apoio - Notas Explicativas'!$D$10-1)
*IF(AND(P19=5173,P26="12x36 Noturno"),0,1))</f>
        <v/>
      </c>
      <c r="Q48" s="714" t="str">
        <f>IF(Q44="","",Q45*Q44*('Apoio - Notas Explicativas'!$D$9/'Apoio - Notas Explicativas'!$D$10-1)
*IF(AND(Q19=5173,Q26="12x36 Noturno"),0,1))</f>
        <v/>
      </c>
      <c r="R48" s="714" t="str">
        <f>IF(R44="","",R45*R44*('Apoio - Notas Explicativas'!$D$9/'Apoio - Notas Explicativas'!$D$10-1)
*IF(AND(R19=5173,R26="12x36 Noturno"),0,1))</f>
        <v/>
      </c>
      <c r="S48" s="714" t="str">
        <f>IF(S44="","",S45*S44*('Apoio - Notas Explicativas'!$D$9/'Apoio - Notas Explicativas'!$D$10-1)
*IF(AND(S19=5173,S26="12x36 Noturno"),0,1))</f>
        <v/>
      </c>
      <c r="T48" s="714" t="str">
        <f>IF(T44="","",T45*T44*('Apoio - Notas Explicativas'!$D$9/'Apoio - Notas Explicativas'!$D$10-1)
*IF(AND(T19=5173,T26="12x36 Noturno"),0,1))</f>
        <v/>
      </c>
      <c r="U48" s="714" t="str">
        <f>IF(U44="","",U45*U44*('Apoio - Notas Explicativas'!$D$9/'Apoio - Notas Explicativas'!$D$10-1)
*IF(AND(U19=5173,U26="12x36 Noturno"),0,1))</f>
        <v/>
      </c>
      <c r="V48" s="714" t="str">
        <f>IF(V44="","",V45*V44*('Apoio - Notas Explicativas'!$D$9/'Apoio - Notas Explicativas'!$D$10-1)
*IF(AND(V19=5173,V26="12x36 Noturno"),0,1))</f>
        <v/>
      </c>
      <c r="W48" s="714" t="str">
        <f>IF(W44="","",W45*W44*('Apoio - Notas Explicativas'!$D$9/'Apoio - Notas Explicativas'!$D$10-1)
*IF(AND(W19=5173,W26="12x36 Noturno"),0,1))</f>
        <v/>
      </c>
      <c r="X48" s="714" t="str">
        <f>IF(X44="","",X45*X44*('Apoio - Notas Explicativas'!$D$9/'Apoio - Notas Explicativas'!$D$10-1)
*IF(AND(X19=5173,X26="12x36 Noturno"),0,1))</f>
        <v/>
      </c>
      <c r="Y48" s="714" t="str">
        <f>IF(Y44="","",Y45*Y44*('Apoio - Notas Explicativas'!$D$9/'Apoio - Notas Explicativas'!$D$10-1)
*IF(AND(Y19=5173,Y26="12x36 Noturno"),0,1))</f>
        <v/>
      </c>
      <c r="Z48" s="714" t="str">
        <f>IF(Z44="","",Z45*Z44*('Apoio - Notas Explicativas'!$D$9/'Apoio - Notas Explicativas'!$D$10-1)
*IF(AND(Z19=5173,Z26="12x36 Noturno"),0,1))</f>
        <v/>
      </c>
      <c r="AA48" s="714" t="str">
        <f>IF(AA44="","",AA45*AA44*('Apoio - Notas Explicativas'!$D$9/'Apoio - Notas Explicativas'!$D$10-1)
*IF(AND(AA19=5173,AA26="12x36 Noturno"),0,1))</f>
        <v/>
      </c>
      <c r="AB48" s="714" t="str">
        <f>IF(AB44="","",AB45*AB44*('Apoio - Notas Explicativas'!$D$9/'Apoio - Notas Explicativas'!$D$10-1)
*IF(AND(AB19=5173,AB26="12x36 Noturno"),0,1))</f>
        <v/>
      </c>
      <c r="AC48" s="714" t="str">
        <f>IF(AC44="","",AC45*AC44*('Apoio - Notas Explicativas'!$D$9/'Apoio - Notas Explicativas'!$D$10-1)
*IF(AND(AC19=5173,AC26="12x36 Noturno"),0,1))</f>
        <v/>
      </c>
      <c r="AD48" s="714" t="str">
        <f>IF(AD44="","",AD45*AD44*('Apoio - Notas Explicativas'!$D$9/'Apoio - Notas Explicativas'!$D$10-1)
*IF(AND(AD19=5173,AD26="12x36 Noturno"),0,1))</f>
        <v/>
      </c>
    </row>
    <row r="49" spans="1:30">
      <c r="A49" s="712"/>
      <c r="B49" s="870"/>
      <c r="C49" s="715"/>
      <c r="D49" s="689" t="s">
        <v>43</v>
      </c>
      <c r="E49" s="204" t="str">
        <f>IFERROR(E48*(SUM(E$32,E$35,E$39)/(VLOOKUP(E$26,'Apoio - Regime de Trabalho'!$A:$I,8,FALSE))*120%),"")</f>
        <v/>
      </c>
      <c r="F49" s="204">
        <f>IFERROR(F48*(SUM(F$32,F$35,F$39)/(VLOOKUP(F$26,'Apoio - Regime de Trabalho'!$A:$I,8,FALSE))*120%),"")</f>
        <v>238.53419999999986</v>
      </c>
      <c r="G49" s="204" t="str">
        <f>IFERROR(G48*(SUM(G$32,G$35,G$39)/(VLOOKUP(G$26,'Apoio - Regime de Trabalho'!$A:$I,8,FALSE))*120%),"")</f>
        <v/>
      </c>
      <c r="H49" s="204" t="str">
        <f>IFERROR(H48*(SUM(H$32,H$35,H$39)/(VLOOKUP(H$26,'Apoio - Regime de Trabalho'!$A:$I,8,FALSE))*120%),"")</f>
        <v/>
      </c>
      <c r="I49" s="204" t="str">
        <f>IFERROR(I48*(SUM(I$32,I$35,I$39)/(VLOOKUP(I$26,'Apoio - Regime de Trabalho'!$A:$I,8,FALSE))*120%),"")</f>
        <v/>
      </c>
      <c r="J49" s="204" t="str">
        <f>IFERROR(J48*(SUM(J$32,J$35,J$39)/(VLOOKUP(J$26,'Apoio - Regime de Trabalho'!$A:$I,8,FALSE))*120%),"")</f>
        <v/>
      </c>
      <c r="K49" s="204" t="str">
        <f>IFERROR(K48*(SUM(K$32,K$35,K$39)/(VLOOKUP(K$26,'Apoio - Regime de Trabalho'!$A:$I,8,FALSE))*120%),"")</f>
        <v/>
      </c>
      <c r="L49" s="204" t="str">
        <f>IFERROR(L48*(SUM(L$32,L$35,L$39)/(VLOOKUP(L$26,'Apoio - Regime de Trabalho'!$A:$I,8,FALSE))*120%),"")</f>
        <v/>
      </c>
      <c r="M49" s="204" t="str">
        <f>IFERROR(M48*(SUM(M$32,M$35,M$39)/(VLOOKUP(M$26,'Apoio - Regime de Trabalho'!$A:$I,8,FALSE))*120%),"")</f>
        <v/>
      </c>
      <c r="N49" s="204" t="str">
        <f>IFERROR(N48*(SUM(N$32,N$35,N$39)/(VLOOKUP(N$26,'Apoio - Regime de Trabalho'!$A:$I,8,FALSE))*120%),"")</f>
        <v/>
      </c>
      <c r="O49" s="204" t="str">
        <f>IFERROR(O48*(SUM(O$32,O$35,O$39)/(VLOOKUP(O$26,'Apoio - Regime de Trabalho'!$A:$I,8,FALSE))*120%),"")</f>
        <v/>
      </c>
      <c r="P49" s="204" t="str">
        <f>IFERROR(P48*(SUM(P$32,P$35,P$39)/(VLOOKUP(P$26,'Apoio - Regime de Trabalho'!$A:$I,8,FALSE))*120%),"")</f>
        <v/>
      </c>
      <c r="Q49" s="204" t="str">
        <f>IFERROR(Q48*(SUM(Q$32,Q$35,Q$39)/(VLOOKUP(Q$26,'Apoio - Regime de Trabalho'!$A:$I,8,FALSE))*120%),"")</f>
        <v/>
      </c>
      <c r="R49" s="204" t="str">
        <f>IFERROR(R48*(SUM(R$32,R$35,R$39)/(VLOOKUP(R$26,'Apoio - Regime de Trabalho'!$A:$I,8,FALSE))*120%),"")</f>
        <v/>
      </c>
      <c r="S49" s="204" t="str">
        <f>IFERROR(S48*(SUM(S$32,S$35,S$39)/(VLOOKUP(S$26,'Apoio - Regime de Trabalho'!$A:$I,8,FALSE))*120%),"")</f>
        <v/>
      </c>
      <c r="T49" s="204" t="str">
        <f>IFERROR(T48*(SUM(T$32,T$35,T$39)/(VLOOKUP(T$26,'Apoio - Regime de Trabalho'!$A:$I,8,FALSE))*120%),"")</f>
        <v/>
      </c>
      <c r="U49" s="204" t="str">
        <f>IFERROR(U48*(SUM(U$32,U$35,U$39)/(VLOOKUP(U$26,'Apoio - Regime de Trabalho'!$A:$I,8,FALSE))*120%),"")</f>
        <v/>
      </c>
      <c r="V49" s="204" t="str">
        <f>IFERROR(V48*(SUM(V$32,V$35,V$39)/(VLOOKUP(V$26,'Apoio - Regime de Trabalho'!$A:$I,8,FALSE))*120%),"")</f>
        <v/>
      </c>
      <c r="W49" s="204" t="str">
        <f>IFERROR(W48*(SUM(W$32,W$35,W$39)/(VLOOKUP(W$26,'Apoio - Regime de Trabalho'!$A:$I,8,FALSE))*120%),"")</f>
        <v/>
      </c>
      <c r="X49" s="204" t="str">
        <f>IFERROR(X48*(SUM(X$32,X$35,X$39)/(VLOOKUP(X$26,'Apoio - Regime de Trabalho'!$A:$I,8,FALSE))*120%),"")</f>
        <v/>
      </c>
      <c r="Y49" s="204" t="str">
        <f>IFERROR(Y48*(SUM(Y$32,Y$35,Y$39)/(VLOOKUP(Y$26,'Apoio - Regime de Trabalho'!$A:$I,8,FALSE))*120%),"")</f>
        <v/>
      </c>
      <c r="Z49" s="204" t="str">
        <f>IFERROR(Z48*(SUM(Z$32,Z$35,Z$39)/(VLOOKUP(Z$26,'Apoio - Regime de Trabalho'!$A:$I,8,FALSE))*120%),"")</f>
        <v/>
      </c>
      <c r="AA49" s="204" t="str">
        <f>IFERROR(AA48*(SUM(AA$32,AA$35,AA$39)/(VLOOKUP(AA$26,'Apoio - Regime de Trabalho'!$A:$I,8,FALSE))*120%),"")</f>
        <v/>
      </c>
      <c r="AB49" s="204" t="str">
        <f>IFERROR(AB48*(SUM(AB$32,AB$35,AB$39)/(VLOOKUP(AB$26,'Apoio - Regime de Trabalho'!$A:$I,8,FALSE))*120%),"")</f>
        <v/>
      </c>
      <c r="AC49" s="204" t="str">
        <f>IFERROR(AC48*(SUM(AC$32,AC$35,AC$39)/(VLOOKUP(AC$26,'Apoio - Regime de Trabalho'!$A:$I,8,FALSE))*120%),"")</f>
        <v/>
      </c>
      <c r="AD49" s="204" t="str">
        <f>IFERROR(AD48*(SUM(AD$32,AD$35,AD$39)/(VLOOKUP(AD$26,'Apoio - Regime de Trabalho'!$A:$I,8,FALSE))*120%),"")</f>
        <v/>
      </c>
    </row>
    <row r="50" spans="1:30">
      <c r="A50" s="712"/>
      <c r="B50" s="865" t="s">
        <v>5</v>
      </c>
      <c r="C50" s="716" t="s">
        <v>181</v>
      </c>
      <c r="D50" s="700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</row>
    <row r="51" spans="1:30">
      <c r="A51" s="679"/>
      <c r="B51" s="866"/>
      <c r="C51" s="692" t="s">
        <v>93</v>
      </c>
      <c r="D51" s="717"/>
      <c r="E51" s="718" t="str">
        <f>IF(E$26="56h (7 dias)",100%,
IF(OR(E19=7823,E19=7825),50%,""))</f>
        <v/>
      </c>
      <c r="F51" s="718" t="str">
        <f t="shared" ref="F51:H51" si="14">IF(F$26="56h (7 dias)",100%,
IF(OR(F19=7823,F19=7825),50%,""))</f>
        <v/>
      </c>
      <c r="G51" s="718" t="str">
        <f t="shared" si="14"/>
        <v/>
      </c>
      <c r="H51" s="718" t="str">
        <f t="shared" si="14"/>
        <v/>
      </c>
      <c r="I51" s="718" t="str">
        <f t="shared" ref="I51:N51" si="15">IF(I$26="56h (7 dias)",100%,
IF(OR(I19=7823,I19=7825),50%,""))</f>
        <v/>
      </c>
      <c r="J51" s="718" t="str">
        <f t="shared" si="15"/>
        <v/>
      </c>
      <c r="K51" s="718" t="str">
        <f t="shared" si="15"/>
        <v/>
      </c>
      <c r="L51" s="718" t="str">
        <f t="shared" si="15"/>
        <v/>
      </c>
      <c r="M51" s="718" t="str">
        <f t="shared" si="15"/>
        <v/>
      </c>
      <c r="N51" s="718" t="str">
        <f t="shared" si="15"/>
        <v/>
      </c>
      <c r="O51" s="718" t="str">
        <f t="shared" ref="O51:AD51" si="16">IF(O$26="56h (7 dias)",100%,
IF(OR(O19=7823,O19=7825),50%,""))</f>
        <v/>
      </c>
      <c r="P51" s="718" t="str">
        <f t="shared" si="16"/>
        <v/>
      </c>
      <c r="Q51" s="718" t="str">
        <f t="shared" si="16"/>
        <v/>
      </c>
      <c r="R51" s="718" t="str">
        <f t="shared" si="16"/>
        <v/>
      </c>
      <c r="S51" s="718" t="str">
        <f t="shared" si="16"/>
        <v/>
      </c>
      <c r="T51" s="718" t="str">
        <f t="shared" si="16"/>
        <v/>
      </c>
      <c r="U51" s="718" t="str">
        <f t="shared" si="16"/>
        <v/>
      </c>
      <c r="V51" s="718" t="str">
        <f t="shared" si="16"/>
        <v/>
      </c>
      <c r="W51" s="718" t="str">
        <f t="shared" si="16"/>
        <v/>
      </c>
      <c r="X51" s="718" t="str">
        <f t="shared" si="16"/>
        <v/>
      </c>
      <c r="Y51" s="718" t="str">
        <f t="shared" si="16"/>
        <v/>
      </c>
      <c r="Z51" s="718" t="str">
        <f t="shared" si="16"/>
        <v/>
      </c>
      <c r="AA51" s="718" t="str">
        <f t="shared" si="16"/>
        <v/>
      </c>
      <c r="AB51" s="718" t="str">
        <f t="shared" si="16"/>
        <v/>
      </c>
      <c r="AC51" s="718" t="str">
        <f t="shared" si="16"/>
        <v/>
      </c>
      <c r="AD51" s="718" t="str">
        <f t="shared" si="16"/>
        <v/>
      </c>
    </row>
    <row r="52" spans="1:30">
      <c r="A52" s="679"/>
      <c r="B52" s="866"/>
      <c r="C52" s="695" t="s">
        <v>20</v>
      </c>
      <c r="D52" s="719"/>
      <c r="E52" s="720" t="str">
        <f>IF(OR(E$26="56h (7 dias)",E19=7823,E19=7825),8,"")</f>
        <v/>
      </c>
      <c r="F52" s="720" t="str">
        <f t="shared" ref="F52:H52" si="17">IF(OR(F$26="56h (7 dias)",F19=7823,F19=7825),8,"")</f>
        <v/>
      </c>
      <c r="G52" s="720" t="str">
        <f t="shared" si="17"/>
        <v/>
      </c>
      <c r="H52" s="720" t="str">
        <f t="shared" si="17"/>
        <v/>
      </c>
      <c r="I52" s="720" t="str">
        <f t="shared" ref="I52:N52" si="18">IF(OR(I$26="56h (7 dias)",I19=7823,I19=7825),8,"")</f>
        <v/>
      </c>
      <c r="J52" s="720" t="str">
        <f t="shared" si="18"/>
        <v/>
      </c>
      <c r="K52" s="720" t="str">
        <f t="shared" si="18"/>
        <v/>
      </c>
      <c r="L52" s="720" t="str">
        <f t="shared" si="18"/>
        <v/>
      </c>
      <c r="M52" s="720" t="str">
        <f t="shared" si="18"/>
        <v/>
      </c>
      <c r="N52" s="720" t="str">
        <f t="shared" si="18"/>
        <v/>
      </c>
      <c r="O52" s="720" t="str">
        <f t="shared" ref="O52:AD52" si="19">IF(OR(O$26="56h (7 dias)",O19=7823,O19=7825),8,"")</f>
        <v/>
      </c>
      <c r="P52" s="720" t="str">
        <f t="shared" si="19"/>
        <v/>
      </c>
      <c r="Q52" s="720" t="str">
        <f t="shared" si="19"/>
        <v/>
      </c>
      <c r="R52" s="720" t="str">
        <f t="shared" si="19"/>
        <v/>
      </c>
      <c r="S52" s="720" t="str">
        <f t="shared" si="19"/>
        <v/>
      </c>
      <c r="T52" s="720" t="str">
        <f t="shared" si="19"/>
        <v/>
      </c>
      <c r="U52" s="720" t="str">
        <f t="shared" si="19"/>
        <v/>
      </c>
      <c r="V52" s="720" t="str">
        <f t="shared" si="19"/>
        <v/>
      </c>
      <c r="W52" s="720" t="str">
        <f t="shared" si="19"/>
        <v/>
      </c>
      <c r="X52" s="720" t="str">
        <f t="shared" si="19"/>
        <v/>
      </c>
      <c r="Y52" s="720" t="str">
        <f t="shared" si="19"/>
        <v/>
      </c>
      <c r="Z52" s="720" t="str">
        <f t="shared" si="19"/>
        <v/>
      </c>
      <c r="AA52" s="720" t="str">
        <f t="shared" si="19"/>
        <v/>
      </c>
      <c r="AB52" s="720" t="str">
        <f t="shared" si="19"/>
        <v/>
      </c>
      <c r="AC52" s="720" t="str">
        <f t="shared" si="19"/>
        <v/>
      </c>
      <c r="AD52" s="720" t="str">
        <f t="shared" si="19"/>
        <v/>
      </c>
    </row>
    <row r="53" spans="1:30">
      <c r="A53" s="679"/>
      <c r="B53" s="867"/>
      <c r="C53" s="709"/>
      <c r="D53" s="689" t="s">
        <v>43</v>
      </c>
      <c r="E53" s="721" t="str">
        <f>IFERROR(SUM(E$32,E$35,E$39,E$46)/(VLOOKUP(E$26,'Apoio - Regime de Trabalho'!$A:$I,8,FALSE))*(1+E$51)*E$52,"")</f>
        <v/>
      </c>
      <c r="F53" s="721" t="str">
        <f>IFERROR(SUM(F$32,F$35,F$39,F$46)/(VLOOKUP(F$26,'Apoio - Regime de Trabalho'!$A:$I,8,FALSE))*(1+F$51)*F$52,"")</f>
        <v/>
      </c>
      <c r="G53" s="721" t="str">
        <f>IFERROR(SUM(G$32,G$35,G$39,G$46)/(VLOOKUP(G$26,'Apoio - Regime de Trabalho'!$A:$I,8,FALSE))*(1+G$51)*G$52,"")</f>
        <v/>
      </c>
      <c r="H53" s="721" t="str">
        <f>IFERROR(SUM(H$32,H$35,H$39,H$46)/(VLOOKUP(H$26,'Apoio - Regime de Trabalho'!$A:$I,8,FALSE))*(1+H$51)*H$52,"")</f>
        <v/>
      </c>
      <c r="I53" s="721" t="str">
        <f>IFERROR(SUM(I$32,I$35,I$39,I$46)/(VLOOKUP(I$26,'Apoio - Regime de Trabalho'!$A:$I,8,FALSE))*(1+I$51)*I$52,"")</f>
        <v/>
      </c>
      <c r="J53" s="721" t="str">
        <f>IFERROR(SUM(J$32,J$35,J$39,J$46)/(VLOOKUP(J$26,'Apoio - Regime de Trabalho'!$A:$I,8,FALSE))*(1+J$51)*J$52,"")</f>
        <v/>
      </c>
      <c r="K53" s="721" t="str">
        <f>IFERROR(SUM(K$32,K$35,K$39,K$46)/(VLOOKUP(K$26,'Apoio - Regime de Trabalho'!$A:$I,8,FALSE))*(1+K$51)*K$52,"")</f>
        <v/>
      </c>
      <c r="L53" s="721" t="str">
        <f>IFERROR(SUM(L$32,L$35,L$39,L$46)/(VLOOKUP(L$26,'Apoio - Regime de Trabalho'!$A:$I,8,FALSE))*(1+L$51)*L$52,"")</f>
        <v/>
      </c>
      <c r="M53" s="721" t="str">
        <f>IFERROR(SUM(M$32,M$35,M$39,M$46)/(VLOOKUP(M$26,'Apoio - Regime de Trabalho'!$A:$I,8,FALSE))*(1+M$51)*M$52,"")</f>
        <v/>
      </c>
      <c r="N53" s="721" t="str">
        <f>IFERROR(SUM(N$32,N$35,N$39,N$46)/(VLOOKUP(N$26,'Apoio - Regime de Trabalho'!$A:$I,8,FALSE))*(1+N$51)*N$52,"")</f>
        <v/>
      </c>
      <c r="O53" s="721" t="str">
        <f>IFERROR(SUM(O$32,O$35,O$39,O$46)/(VLOOKUP(O$26,'Apoio - Regime de Trabalho'!$A:$I,8,FALSE))*(1+O$51)*O$52,"")</f>
        <v/>
      </c>
      <c r="P53" s="721" t="str">
        <f>IFERROR(SUM(P$32,P$35,P$39,P$46)/(VLOOKUP(P$26,'Apoio - Regime de Trabalho'!$A:$I,8,FALSE))*(1+P$51)*P$52,"")</f>
        <v/>
      </c>
      <c r="Q53" s="721" t="str">
        <f>IFERROR(SUM(Q$32,Q$35,Q$39,Q$46)/(VLOOKUP(Q$26,'Apoio - Regime de Trabalho'!$A:$I,8,FALSE))*(1+Q$51)*Q$52,"")</f>
        <v/>
      </c>
      <c r="R53" s="721" t="str">
        <f>IFERROR(SUM(R$32,R$35,R$39,R$46)/(VLOOKUP(R$26,'Apoio - Regime de Trabalho'!$A:$I,8,FALSE))*(1+R$51)*R$52,"")</f>
        <v/>
      </c>
      <c r="S53" s="721" t="str">
        <f>IFERROR(SUM(S$32,S$35,S$39,S$46)/(VLOOKUP(S$26,'Apoio - Regime de Trabalho'!$A:$I,8,FALSE))*(1+S$51)*S$52,"")</f>
        <v/>
      </c>
      <c r="T53" s="721" t="str">
        <f>IFERROR(SUM(T$32,T$35,T$39,T$46)/(VLOOKUP(T$26,'Apoio - Regime de Trabalho'!$A:$I,8,FALSE))*(1+T$51)*T$52,"")</f>
        <v/>
      </c>
      <c r="U53" s="721" t="str">
        <f>IFERROR(SUM(U$32,U$35,U$39,U$46)/(VLOOKUP(U$26,'Apoio - Regime de Trabalho'!$A:$I,8,FALSE))*(1+U$51)*U$52,"")</f>
        <v/>
      </c>
      <c r="V53" s="721" t="str">
        <f>IFERROR(SUM(V$32,V$35,V$39,V$46)/(VLOOKUP(V$26,'Apoio - Regime de Trabalho'!$A:$I,8,FALSE))*(1+V$51)*V$52,"")</f>
        <v/>
      </c>
      <c r="W53" s="721" t="str">
        <f>IFERROR(SUM(W$32,W$35,W$39,W$46)/(VLOOKUP(W$26,'Apoio - Regime de Trabalho'!$A:$I,8,FALSE))*(1+W$51)*W$52,"")</f>
        <v/>
      </c>
      <c r="X53" s="721" t="str">
        <f>IFERROR(SUM(X$32,X$35,X$39,X$46)/(VLOOKUP(X$26,'Apoio - Regime de Trabalho'!$A:$I,8,FALSE))*(1+X$51)*X$52,"")</f>
        <v/>
      </c>
      <c r="Y53" s="721" t="str">
        <f>IFERROR(SUM(Y$32,Y$35,Y$39,Y$46)/(VLOOKUP(Y$26,'Apoio - Regime de Trabalho'!$A:$I,8,FALSE))*(1+Y$51)*Y$52,"")</f>
        <v/>
      </c>
      <c r="Z53" s="721" t="str">
        <f>IFERROR(SUM(Z$32,Z$35,Z$39,Z$46)/(VLOOKUP(Z$26,'Apoio - Regime de Trabalho'!$A:$I,8,FALSE))*(1+Z$51)*Z$52,"")</f>
        <v/>
      </c>
      <c r="AA53" s="721" t="str">
        <f>IFERROR(SUM(AA$32,AA$35,AA$39,AA$46)/(VLOOKUP(AA$26,'Apoio - Regime de Trabalho'!$A:$I,8,FALSE))*(1+AA$51)*AA$52,"")</f>
        <v/>
      </c>
      <c r="AB53" s="721" t="str">
        <f>IFERROR(SUM(AB$32,AB$35,AB$39,AB$46)/(VLOOKUP(AB$26,'Apoio - Regime de Trabalho'!$A:$I,8,FALSE))*(1+AB$51)*AB$52,"")</f>
        <v/>
      </c>
      <c r="AC53" s="721" t="str">
        <f>IFERROR(SUM(AC$32,AC$35,AC$39,AC$46)/(VLOOKUP(AC$26,'Apoio - Regime de Trabalho'!$A:$I,8,FALSE))*(1+AC$51)*AC$52,"")</f>
        <v/>
      </c>
      <c r="AD53" s="721" t="str">
        <f>IFERROR(SUM(AD$32,AD$35,AD$39,AD$46)/(VLOOKUP(AD$26,'Apoio - Regime de Trabalho'!$A:$I,8,FALSE))*(1+AD$51)*AD$52,"")</f>
        <v/>
      </c>
    </row>
    <row r="54" spans="1:30">
      <c r="A54" s="679"/>
      <c r="B54" s="868" t="s">
        <v>4</v>
      </c>
      <c r="C54" s="711" t="s">
        <v>84</v>
      </c>
      <c r="D54" s="700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</row>
    <row r="55" spans="1:30">
      <c r="A55" s="679"/>
      <c r="B55" s="869"/>
      <c r="C55" s="713" t="s">
        <v>86</v>
      </c>
      <c r="D55" s="686"/>
      <c r="E55" s="420">
        <f>IF(E18="","",IFERROR(SUM(E$46,E49)*20%,""))</f>
        <v>0</v>
      </c>
      <c r="F55" s="420">
        <f t="shared" ref="F55:H55" si="20">IF(F18="","",IFERROR(SUM(F$46,F49)*20%,""))</f>
        <v>103.36481999999999</v>
      </c>
      <c r="G55" s="420" t="str">
        <f t="shared" si="20"/>
        <v/>
      </c>
      <c r="H55" s="420" t="str">
        <f t="shared" si="20"/>
        <v/>
      </c>
      <c r="I55" s="420" t="str">
        <f t="shared" ref="I55:N55" si="21">IF(I18="","",IFERROR(SUM(I$46,I49)*20%,""))</f>
        <v/>
      </c>
      <c r="J55" s="420" t="str">
        <f t="shared" si="21"/>
        <v/>
      </c>
      <c r="K55" s="420" t="str">
        <f t="shared" si="21"/>
        <v/>
      </c>
      <c r="L55" s="420" t="str">
        <f t="shared" si="21"/>
        <v/>
      </c>
      <c r="M55" s="420" t="str">
        <f t="shared" si="21"/>
        <v/>
      </c>
      <c r="N55" s="420" t="str">
        <f t="shared" si="21"/>
        <v/>
      </c>
      <c r="O55" s="420" t="str">
        <f t="shared" ref="O55:AD55" si="22">IF(O18="","",IFERROR(SUM(O$46,O49)*20%,""))</f>
        <v/>
      </c>
      <c r="P55" s="420" t="str">
        <f t="shared" si="22"/>
        <v/>
      </c>
      <c r="Q55" s="420" t="str">
        <f t="shared" si="22"/>
        <v/>
      </c>
      <c r="R55" s="420" t="str">
        <f t="shared" si="22"/>
        <v/>
      </c>
      <c r="S55" s="420" t="str">
        <f t="shared" si="22"/>
        <v/>
      </c>
      <c r="T55" s="420" t="str">
        <f t="shared" si="22"/>
        <v/>
      </c>
      <c r="U55" s="420" t="str">
        <f t="shared" si="22"/>
        <v/>
      </c>
      <c r="V55" s="420" t="str">
        <f t="shared" si="22"/>
        <v/>
      </c>
      <c r="W55" s="420" t="str">
        <f t="shared" si="22"/>
        <v/>
      </c>
      <c r="X55" s="420" t="str">
        <f t="shared" si="22"/>
        <v/>
      </c>
      <c r="Y55" s="420" t="str">
        <f t="shared" si="22"/>
        <v/>
      </c>
      <c r="Z55" s="420" t="str">
        <f t="shared" si="22"/>
        <v/>
      </c>
      <c r="AA55" s="420" t="str">
        <f t="shared" si="22"/>
        <v/>
      </c>
      <c r="AB55" s="420" t="str">
        <f t="shared" si="22"/>
        <v/>
      </c>
      <c r="AC55" s="420" t="str">
        <f t="shared" si="22"/>
        <v/>
      </c>
      <c r="AD55" s="420" t="str">
        <f t="shared" si="22"/>
        <v/>
      </c>
    </row>
    <row r="56" spans="1:30">
      <c r="A56" s="679"/>
      <c r="B56" s="869"/>
      <c r="C56" s="722" t="s">
        <v>85</v>
      </c>
      <c r="D56" s="723" t="s">
        <v>411</v>
      </c>
      <c r="E56" s="421" t="str">
        <f>IFERROR(IF(E18="","",IF(D56="Não",0,E53*20%)),"")</f>
        <v/>
      </c>
      <c r="F56" s="421" t="str">
        <f t="shared" ref="F56:H56" si="23">IFERROR(IF(F18="","",IF(E56="Não",0,F53*20%)),"")</f>
        <v/>
      </c>
      <c r="G56" s="421" t="str">
        <f t="shared" si="23"/>
        <v/>
      </c>
      <c r="H56" s="421" t="str">
        <f t="shared" si="23"/>
        <v/>
      </c>
      <c r="I56" s="421" t="str">
        <f t="shared" ref="I56" si="24">IFERROR(IF(I18="","",IF(H56="Não",0,I53*20%)),"")</f>
        <v/>
      </c>
      <c r="J56" s="421" t="str">
        <f t="shared" ref="J56" si="25">IFERROR(IF(J18="","",IF(I56="Não",0,J53*20%)),"")</f>
        <v/>
      </c>
      <c r="K56" s="421" t="str">
        <f t="shared" ref="K56" si="26">IFERROR(IF(K18="","",IF(J56="Não",0,K53*20%)),"")</f>
        <v/>
      </c>
      <c r="L56" s="421" t="str">
        <f t="shared" ref="L56" si="27">IFERROR(IF(L18="","",IF(K56="Não",0,L53*20%)),"")</f>
        <v/>
      </c>
      <c r="M56" s="421" t="str">
        <f t="shared" ref="M56" si="28">IFERROR(IF(M18="","",IF(L56="Não",0,M53*20%)),"")</f>
        <v/>
      </c>
      <c r="N56" s="421" t="str">
        <f t="shared" ref="N56" si="29">IFERROR(IF(N18="","",IF(M56="Não",0,N53*20%)),"")</f>
        <v/>
      </c>
      <c r="O56" s="421" t="str">
        <f t="shared" ref="O56" si="30">IFERROR(IF(O18="","",IF(N56="Não",0,O53*20%)),"")</f>
        <v/>
      </c>
      <c r="P56" s="421" t="str">
        <f t="shared" ref="P56" si="31">IFERROR(IF(P18="","",IF(O56="Não",0,P53*20%)),"")</f>
        <v/>
      </c>
      <c r="Q56" s="421" t="str">
        <f t="shared" ref="Q56" si="32">IFERROR(IF(Q18="","",IF(P56="Não",0,Q53*20%)),"")</f>
        <v/>
      </c>
      <c r="R56" s="421" t="str">
        <f t="shared" ref="R56" si="33">IFERROR(IF(R18="","",IF(Q56="Não",0,R53*20%)),"")</f>
        <v/>
      </c>
      <c r="S56" s="421" t="str">
        <f t="shared" ref="S56" si="34">IFERROR(IF(S18="","",IF(R56="Não",0,S53*20%)),"")</f>
        <v/>
      </c>
      <c r="T56" s="421" t="str">
        <f t="shared" ref="T56" si="35">IFERROR(IF(T18="","",IF(S56="Não",0,T53*20%)),"")</f>
        <v/>
      </c>
      <c r="U56" s="421" t="str">
        <f t="shared" ref="U56" si="36">IFERROR(IF(U18="","",IF(T56="Não",0,U53*20%)),"")</f>
        <v/>
      </c>
      <c r="V56" s="421" t="str">
        <f t="shared" ref="V56" si="37">IFERROR(IF(V18="","",IF(U56="Não",0,V53*20%)),"")</f>
        <v/>
      </c>
      <c r="W56" s="421" t="str">
        <f t="shared" ref="W56" si="38">IFERROR(IF(W18="","",IF(V56="Não",0,W53*20%)),"")</f>
        <v/>
      </c>
      <c r="X56" s="421" t="str">
        <f t="shared" ref="X56" si="39">IFERROR(IF(X18="","",IF(W56="Não",0,X53*20%)),"")</f>
        <v/>
      </c>
      <c r="Y56" s="421" t="str">
        <f t="shared" ref="Y56" si="40">IFERROR(IF(Y18="","",IF(X56="Não",0,Y53*20%)),"")</f>
        <v/>
      </c>
      <c r="Z56" s="421" t="str">
        <f t="shared" ref="Z56" si="41">IFERROR(IF(Z18="","",IF(Y56="Não",0,Z53*20%)),"")</f>
        <v/>
      </c>
      <c r="AA56" s="421" t="str">
        <f t="shared" ref="AA56" si="42">IFERROR(IF(AA18="","",IF(Z56="Não",0,AA53*20%)),"")</f>
        <v/>
      </c>
      <c r="AB56" s="421" t="str">
        <f t="shared" ref="AB56" si="43">IFERROR(IF(AB18="","",IF(AA56="Não",0,AB53*20%)),"")</f>
        <v/>
      </c>
      <c r="AC56" s="421" t="str">
        <f t="shared" ref="AC56" si="44">IFERROR(IF(AC18="","",IF(AB56="Não",0,AC53*20%)),"")</f>
        <v/>
      </c>
      <c r="AD56" s="421" t="str">
        <f t="shared" ref="AD56" si="45">IFERROR(IF(AD18="","",IF(AC56="Não",0,AD53*20%)),"")</f>
        <v/>
      </c>
    </row>
    <row r="57" spans="1:30">
      <c r="A57" s="679"/>
      <c r="B57" s="869"/>
      <c r="C57" s="722" t="s">
        <v>166</v>
      </c>
      <c r="D57" s="723"/>
      <c r="E57" s="421" t="str">
        <f>IF(E20="","",IFERROR(E$59*20%,""))</f>
        <v/>
      </c>
      <c r="F57" s="421" t="str">
        <f t="shared" ref="F57:H57" si="46">IF(F20="","",IFERROR(F$59*20%,""))</f>
        <v/>
      </c>
      <c r="G57" s="421" t="str">
        <f t="shared" si="46"/>
        <v/>
      </c>
      <c r="H57" s="421" t="str">
        <f t="shared" si="46"/>
        <v/>
      </c>
      <c r="I57" s="421" t="str">
        <f t="shared" ref="I57:N57" si="47">IF(I20="","",IFERROR(I$59*20%,""))</f>
        <v/>
      </c>
      <c r="J57" s="421" t="str">
        <f t="shared" si="47"/>
        <v/>
      </c>
      <c r="K57" s="421" t="str">
        <f t="shared" si="47"/>
        <v/>
      </c>
      <c r="L57" s="421" t="str">
        <f t="shared" si="47"/>
        <v/>
      </c>
      <c r="M57" s="421" t="str">
        <f t="shared" si="47"/>
        <v/>
      </c>
      <c r="N57" s="421" t="str">
        <f t="shared" si="47"/>
        <v/>
      </c>
      <c r="O57" s="421" t="str">
        <f t="shared" ref="O57:AD57" si="48">IF(O20="","",IFERROR(O$59*20%,""))</f>
        <v/>
      </c>
      <c r="P57" s="421" t="str">
        <f t="shared" si="48"/>
        <v/>
      </c>
      <c r="Q57" s="421" t="str">
        <f t="shared" si="48"/>
        <v/>
      </c>
      <c r="R57" s="421" t="str">
        <f t="shared" si="48"/>
        <v/>
      </c>
      <c r="S57" s="421" t="str">
        <f t="shared" si="48"/>
        <v/>
      </c>
      <c r="T57" s="421" t="str">
        <f t="shared" si="48"/>
        <v/>
      </c>
      <c r="U57" s="421" t="str">
        <f t="shared" si="48"/>
        <v/>
      </c>
      <c r="V57" s="421" t="str">
        <f t="shared" si="48"/>
        <v/>
      </c>
      <c r="W57" s="421" t="str">
        <f t="shared" si="48"/>
        <v/>
      </c>
      <c r="X57" s="421" t="str">
        <f t="shared" si="48"/>
        <v/>
      </c>
      <c r="Y57" s="421" t="str">
        <f t="shared" si="48"/>
        <v/>
      </c>
      <c r="Z57" s="421" t="str">
        <f t="shared" si="48"/>
        <v/>
      </c>
      <c r="AA57" s="421" t="str">
        <f t="shared" si="48"/>
        <v/>
      </c>
      <c r="AB57" s="421" t="str">
        <f t="shared" si="48"/>
        <v/>
      </c>
      <c r="AC57" s="421" t="str">
        <f t="shared" si="48"/>
        <v/>
      </c>
      <c r="AD57" s="421" t="str">
        <f t="shared" si="48"/>
        <v/>
      </c>
    </row>
    <row r="58" spans="1:30">
      <c r="A58" s="679"/>
      <c r="B58" s="870"/>
      <c r="C58" s="715"/>
      <c r="D58" s="689" t="s">
        <v>43</v>
      </c>
      <c r="E58" s="204" t="str">
        <f>IF(SUM(E55:E57)=0,"",SUM(E55:E57))</f>
        <v/>
      </c>
      <c r="F58" s="204">
        <f t="shared" ref="F58:H58" si="49">IF(SUM(F55:F57)=0,"",SUM(F55:F57))</f>
        <v>103.36481999999999</v>
      </c>
      <c r="G58" s="204" t="str">
        <f t="shared" si="49"/>
        <v/>
      </c>
      <c r="H58" s="204" t="str">
        <f t="shared" si="49"/>
        <v/>
      </c>
      <c r="I58" s="204" t="str">
        <f t="shared" ref="I58:N58" si="50">IF(SUM(I55:I57)=0,"",SUM(I55:I57))</f>
        <v/>
      </c>
      <c r="J58" s="204" t="str">
        <f t="shared" si="50"/>
        <v/>
      </c>
      <c r="K58" s="204" t="str">
        <f t="shared" si="50"/>
        <v/>
      </c>
      <c r="L58" s="204" t="str">
        <f t="shared" si="50"/>
        <v/>
      </c>
      <c r="M58" s="204" t="str">
        <f t="shared" si="50"/>
        <v/>
      </c>
      <c r="N58" s="204" t="str">
        <f t="shared" si="50"/>
        <v/>
      </c>
      <c r="O58" s="204" t="str">
        <f t="shared" ref="O58:AD58" si="51">IF(SUM(O55:O57)=0,"",SUM(O55:O57))</f>
        <v/>
      </c>
      <c r="P58" s="204" t="str">
        <f t="shared" si="51"/>
        <v/>
      </c>
      <c r="Q58" s="204" t="str">
        <f t="shared" si="51"/>
        <v/>
      </c>
      <c r="R58" s="204" t="str">
        <f t="shared" si="51"/>
        <v/>
      </c>
      <c r="S58" s="204" t="str">
        <f t="shared" si="51"/>
        <v/>
      </c>
      <c r="T58" s="204" t="str">
        <f t="shared" si="51"/>
        <v/>
      </c>
      <c r="U58" s="204" t="str">
        <f t="shared" si="51"/>
        <v/>
      </c>
      <c r="V58" s="204" t="str">
        <f t="shared" si="51"/>
        <v/>
      </c>
      <c r="W58" s="204" t="str">
        <f t="shared" si="51"/>
        <v/>
      </c>
      <c r="X58" s="204" t="str">
        <f t="shared" si="51"/>
        <v/>
      </c>
      <c r="Y58" s="204" t="str">
        <f t="shared" si="51"/>
        <v/>
      </c>
      <c r="Z58" s="204" t="str">
        <f t="shared" si="51"/>
        <v/>
      </c>
      <c r="AA58" s="204" t="str">
        <f t="shared" si="51"/>
        <v/>
      </c>
      <c r="AB58" s="204" t="str">
        <f t="shared" si="51"/>
        <v/>
      </c>
      <c r="AC58" s="204" t="str">
        <f t="shared" si="51"/>
        <v/>
      </c>
      <c r="AD58" s="204" t="str">
        <f t="shared" si="51"/>
        <v/>
      </c>
    </row>
    <row r="59" spans="1:30">
      <c r="A59" s="679"/>
      <c r="B59" s="724" t="s">
        <v>141</v>
      </c>
      <c r="C59" s="725" t="s">
        <v>165</v>
      </c>
      <c r="D59" s="726"/>
      <c r="E59" s="727" t="str">
        <f>IFERROR(IFERROR(VLOOKUP(E$18,'Apoio - Posto'!$A:$AA,12,FALSE),"")*VLOOKUP(E26,'Apoio - Regime de Trabalho'!$A:$I,7,FALSE),"")</f>
        <v/>
      </c>
      <c r="F59" s="727" t="str">
        <f>IFERROR(IFERROR(VLOOKUP(F$18,'Apoio - Posto'!$A:$AA,12,FALSE),"")*VLOOKUP(F26,'Apoio - Regime de Trabalho'!$A:$I,7,FALSE),"")</f>
        <v/>
      </c>
      <c r="G59" s="727" t="str">
        <f>IFERROR(IFERROR(VLOOKUP(G$18,'Apoio - Posto'!$A:$AA,12,FALSE),"")*VLOOKUP(G26,'Apoio - Regime de Trabalho'!$A:$I,7,FALSE),"")</f>
        <v/>
      </c>
      <c r="H59" s="727" t="str">
        <f>IFERROR(IFERROR(VLOOKUP(H$18,'Apoio - Posto'!$A:$AA,12,FALSE),"")*VLOOKUP(H26,'Apoio - Regime de Trabalho'!$A:$I,7,FALSE),"")</f>
        <v/>
      </c>
      <c r="I59" s="727" t="str">
        <f>IFERROR(IFERROR(VLOOKUP(I$18,'Apoio - Posto'!$A:$AA,12,FALSE),"")*VLOOKUP(I26,'Apoio - Regime de Trabalho'!$A:$I,7,FALSE),"")</f>
        <v/>
      </c>
      <c r="J59" s="727" t="str">
        <f>IFERROR(IFERROR(VLOOKUP(J$18,'Apoio - Posto'!$A:$AA,12,FALSE),"")*VLOOKUP(J26,'Apoio - Regime de Trabalho'!$A:$I,7,FALSE),"")</f>
        <v/>
      </c>
      <c r="K59" s="727" t="str">
        <f>IFERROR(IFERROR(VLOOKUP(K$18,'Apoio - Posto'!$A:$AA,12,FALSE),"")*VLOOKUP(K26,'Apoio - Regime de Trabalho'!$A:$I,7,FALSE),"")</f>
        <v/>
      </c>
      <c r="L59" s="727" t="str">
        <f>IFERROR(IFERROR(VLOOKUP(L$18,'Apoio - Posto'!$A:$AA,12,FALSE),"")*VLOOKUP(L26,'Apoio - Regime de Trabalho'!$A:$I,7,FALSE),"")</f>
        <v/>
      </c>
      <c r="M59" s="727" t="str">
        <f>IFERROR(IFERROR(VLOOKUP(M$18,'Apoio - Posto'!$A:$AA,12,FALSE),"")*VLOOKUP(M26,'Apoio - Regime de Trabalho'!$A:$I,7,FALSE),"")</f>
        <v/>
      </c>
      <c r="N59" s="727" t="str">
        <f>IFERROR(IFERROR(VLOOKUP(N$18,'Apoio - Posto'!$A:$AA,12,FALSE),"")*VLOOKUP(N26,'Apoio - Regime de Trabalho'!$A:$I,7,FALSE),"")</f>
        <v/>
      </c>
      <c r="O59" s="727" t="str">
        <f>IFERROR(IFERROR(VLOOKUP(O$18,'Apoio - Posto'!$A:$AA,12,FALSE),"")*VLOOKUP(O26,'Apoio - Regime de Trabalho'!$A:$I,7,FALSE),"")</f>
        <v/>
      </c>
      <c r="P59" s="727" t="str">
        <f>IFERROR(IFERROR(VLOOKUP(P$18,'Apoio - Posto'!$A:$AA,12,FALSE),"")*VLOOKUP(P26,'Apoio - Regime de Trabalho'!$A:$I,7,FALSE),"")</f>
        <v/>
      </c>
      <c r="Q59" s="727" t="str">
        <f>IFERROR(IFERROR(VLOOKUP(Q$18,'Apoio - Posto'!$A:$AA,12,FALSE),"")*VLOOKUP(Q26,'Apoio - Regime de Trabalho'!$A:$I,7,FALSE),"")</f>
        <v/>
      </c>
      <c r="R59" s="727" t="str">
        <f>IFERROR(IFERROR(VLOOKUP(R$18,'Apoio - Posto'!$A:$AA,12,FALSE),"")*VLOOKUP(R26,'Apoio - Regime de Trabalho'!$A:$I,7,FALSE),"")</f>
        <v/>
      </c>
      <c r="S59" s="727" t="str">
        <f>IFERROR(IFERROR(VLOOKUP(S$18,'Apoio - Posto'!$A:$AA,12,FALSE),"")*VLOOKUP(S26,'Apoio - Regime de Trabalho'!$A:$I,7,FALSE),"")</f>
        <v/>
      </c>
      <c r="T59" s="727" t="str">
        <f>IFERROR(IFERROR(VLOOKUP(T$18,'Apoio - Posto'!$A:$AA,12,FALSE),"")*VLOOKUP(T26,'Apoio - Regime de Trabalho'!$A:$I,7,FALSE),"")</f>
        <v/>
      </c>
      <c r="U59" s="727" t="str">
        <f>IFERROR(IFERROR(VLOOKUP(U$18,'Apoio - Posto'!$A:$AA,12,FALSE),"")*VLOOKUP(U26,'Apoio - Regime de Trabalho'!$A:$I,7,FALSE),"")</f>
        <v/>
      </c>
      <c r="V59" s="727" t="str">
        <f>IFERROR(IFERROR(VLOOKUP(V$18,'Apoio - Posto'!$A:$AA,12,FALSE),"")*VLOOKUP(V26,'Apoio - Regime de Trabalho'!$A:$I,7,FALSE),"")</f>
        <v/>
      </c>
      <c r="W59" s="727" t="str">
        <f>IFERROR(IFERROR(VLOOKUP(W$18,'Apoio - Posto'!$A:$AA,12,FALSE),"")*VLOOKUP(W26,'Apoio - Regime de Trabalho'!$A:$I,7,FALSE),"")</f>
        <v/>
      </c>
      <c r="X59" s="727" t="str">
        <f>IFERROR(IFERROR(VLOOKUP(X$18,'Apoio - Posto'!$A:$AA,12,FALSE),"")*VLOOKUP(X26,'Apoio - Regime de Trabalho'!$A:$I,7,FALSE),"")</f>
        <v/>
      </c>
      <c r="Y59" s="727" t="str">
        <f>IFERROR(IFERROR(VLOOKUP(Y$18,'Apoio - Posto'!$A:$AA,12,FALSE),"")*VLOOKUP(Y26,'Apoio - Regime de Trabalho'!$A:$I,7,FALSE),"")</f>
        <v/>
      </c>
      <c r="Z59" s="727" t="str">
        <f>IFERROR(IFERROR(VLOOKUP(Z$18,'Apoio - Posto'!$A:$AA,12,FALSE),"")*VLOOKUP(Z26,'Apoio - Regime de Trabalho'!$A:$I,7,FALSE),"")</f>
        <v/>
      </c>
      <c r="AA59" s="727" t="str">
        <f>IFERROR(IFERROR(VLOOKUP(AA$18,'Apoio - Posto'!$A:$AA,12,FALSE),"")*VLOOKUP(AA26,'Apoio - Regime de Trabalho'!$A:$I,7,FALSE),"")</f>
        <v/>
      </c>
      <c r="AB59" s="727" t="str">
        <f>IFERROR(IFERROR(VLOOKUP(AB$18,'Apoio - Posto'!$A:$AA,12,FALSE),"")*VLOOKUP(AB26,'Apoio - Regime de Trabalho'!$A:$I,7,FALSE),"")</f>
        <v/>
      </c>
      <c r="AC59" s="727" t="str">
        <f>IFERROR(IFERROR(VLOOKUP(AC$18,'Apoio - Posto'!$A:$AA,12,FALSE),"")*VLOOKUP(AC26,'Apoio - Regime de Trabalho'!$A:$I,7,FALSE),"")</f>
        <v/>
      </c>
      <c r="AD59" s="727" t="str">
        <f>IFERROR(IFERROR(VLOOKUP(AD$18,'Apoio - Posto'!$A:$AA,12,FALSE),"")*VLOOKUP(AD26,'Apoio - Regime de Trabalho'!$A:$I,7,FALSE),"")</f>
        <v/>
      </c>
    </row>
    <row r="60" spans="1:30">
      <c r="A60" s="728"/>
      <c r="B60" s="729" t="s">
        <v>168</v>
      </c>
      <c r="C60" s="730" t="s">
        <v>222</v>
      </c>
      <c r="D60" s="731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</row>
    <row r="61" spans="1:30" s="5" customFormat="1">
      <c r="A61" s="733"/>
      <c r="B61" s="529"/>
      <c r="C61" s="517" t="s">
        <v>391</v>
      </c>
      <c r="D61" s="734"/>
      <c r="E61" s="735">
        <f>IF(E20="","",SUM(E32,E35,E39,E42,E46,E49,E53,E58,E59,E60))</f>
        <v>2915.4179999999997</v>
      </c>
      <c r="F61" s="736">
        <f t="shared" ref="F61:H61" si="52">IF(F20="","",SUM(F32,F35,F39,F42,F46,F49,F53,F58,F59,F60))</f>
        <v>3535.6069199999997</v>
      </c>
      <c r="G61" s="736" t="str">
        <f t="shared" si="52"/>
        <v/>
      </c>
      <c r="H61" s="737" t="str">
        <f t="shared" si="52"/>
        <v/>
      </c>
      <c r="I61" s="737" t="str">
        <f t="shared" ref="I61:N61" si="53">IF(I20="","",SUM(I32,I35,I39,I42,I46,I49,I53,I58,I59,I60))</f>
        <v/>
      </c>
      <c r="J61" s="737" t="str">
        <f t="shared" si="53"/>
        <v/>
      </c>
      <c r="K61" s="737" t="str">
        <f t="shared" si="53"/>
        <v/>
      </c>
      <c r="L61" s="737" t="str">
        <f t="shared" si="53"/>
        <v/>
      </c>
      <c r="M61" s="737" t="str">
        <f t="shared" si="53"/>
        <v/>
      </c>
      <c r="N61" s="737" t="str">
        <f t="shared" si="53"/>
        <v/>
      </c>
      <c r="O61" s="737" t="str">
        <f t="shared" ref="O61:AD61" si="54">IF(O20="","",SUM(O32,O35,O39,O42,O46,O49,O53,O58,O59,O60))</f>
        <v/>
      </c>
      <c r="P61" s="737" t="str">
        <f t="shared" si="54"/>
        <v/>
      </c>
      <c r="Q61" s="737" t="str">
        <f t="shared" si="54"/>
        <v/>
      </c>
      <c r="R61" s="737" t="str">
        <f t="shared" si="54"/>
        <v/>
      </c>
      <c r="S61" s="737" t="str">
        <f t="shared" si="54"/>
        <v/>
      </c>
      <c r="T61" s="737" t="str">
        <f t="shared" si="54"/>
        <v/>
      </c>
      <c r="U61" s="737" t="str">
        <f t="shared" si="54"/>
        <v/>
      </c>
      <c r="V61" s="737" t="str">
        <f t="shared" si="54"/>
        <v/>
      </c>
      <c r="W61" s="737" t="str">
        <f t="shared" si="54"/>
        <v/>
      </c>
      <c r="X61" s="737" t="str">
        <f t="shared" si="54"/>
        <v/>
      </c>
      <c r="Y61" s="737" t="str">
        <f t="shared" si="54"/>
        <v/>
      </c>
      <c r="Z61" s="737" t="str">
        <f t="shared" si="54"/>
        <v/>
      </c>
      <c r="AA61" s="737" t="str">
        <f t="shared" si="54"/>
        <v/>
      </c>
      <c r="AB61" s="737" t="str">
        <f t="shared" si="54"/>
        <v/>
      </c>
      <c r="AC61" s="737" t="str">
        <f t="shared" si="54"/>
        <v/>
      </c>
      <c r="AD61" s="737" t="str">
        <f t="shared" si="54"/>
        <v/>
      </c>
    </row>
    <row r="62" spans="1:30" s="17" customFormat="1">
      <c r="A62" s="20"/>
      <c r="D62" s="14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38"/>
      <c r="W62" s="738"/>
      <c r="X62" s="738"/>
      <c r="Y62" s="738"/>
      <c r="Z62" s="738"/>
      <c r="AA62" s="738"/>
      <c r="AB62" s="738"/>
      <c r="AC62" s="738"/>
      <c r="AD62" s="738"/>
    </row>
    <row r="63" spans="1:30" s="6" customFormat="1">
      <c r="A63" s="739"/>
      <c r="B63" s="477"/>
      <c r="C63" s="517" t="s">
        <v>152</v>
      </c>
      <c r="D63" s="678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</row>
    <row r="64" spans="1:30" customFormat="1" ht="3.75" customHeight="1"/>
    <row r="65" spans="1:30" s="6" customFormat="1">
      <c r="A65" s="740"/>
      <c r="B65" s="538"/>
      <c r="C65" s="539" t="s">
        <v>153</v>
      </c>
      <c r="D65" s="741"/>
      <c r="E65" s="742"/>
      <c r="F65" s="742"/>
      <c r="G65" s="742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3"/>
      <c r="X65" s="743"/>
      <c r="Y65" s="743"/>
      <c r="Z65" s="743"/>
      <c r="AA65" s="743"/>
      <c r="AB65" s="743"/>
      <c r="AC65" s="743"/>
      <c r="AD65" s="743"/>
    </row>
    <row r="66" spans="1:30">
      <c r="A66" s="739"/>
      <c r="B66" s="595" t="s">
        <v>2</v>
      </c>
      <c r="C66" s="709" t="s">
        <v>58</v>
      </c>
      <c r="D66" s="744">
        <f>IFERROR(INDEX('Apoio - Notas Explicativas'!Q:Q,MATCH(C66,'Apoio - Notas Explicativas'!C:C,0)),"")</f>
        <v>8.3299999999999999E-2</v>
      </c>
      <c r="E66" s="683">
        <f>IFERROR($D66*E$61,"")</f>
        <v>242.85431939999998</v>
      </c>
      <c r="F66" s="683">
        <f t="shared" ref="F66:U68" si="55">IFERROR($D66*F$61,"")</f>
        <v>294.51605643599999</v>
      </c>
      <c r="G66" s="683" t="str">
        <f t="shared" si="55"/>
        <v/>
      </c>
      <c r="H66" s="683" t="str">
        <f t="shared" si="55"/>
        <v/>
      </c>
      <c r="I66" s="683" t="str">
        <f t="shared" si="55"/>
        <v/>
      </c>
      <c r="J66" s="683" t="str">
        <f t="shared" si="55"/>
        <v/>
      </c>
      <c r="K66" s="683" t="str">
        <f t="shared" si="55"/>
        <v/>
      </c>
      <c r="L66" s="683" t="str">
        <f t="shared" si="55"/>
        <v/>
      </c>
      <c r="M66" s="683" t="str">
        <f t="shared" si="55"/>
        <v/>
      </c>
      <c r="N66" s="683" t="str">
        <f t="shared" si="55"/>
        <v/>
      </c>
      <c r="O66" s="683" t="str">
        <f t="shared" si="55"/>
        <v/>
      </c>
      <c r="P66" s="683" t="str">
        <f t="shared" si="55"/>
        <v/>
      </c>
      <c r="Q66" s="683" t="str">
        <f t="shared" si="55"/>
        <v/>
      </c>
      <c r="R66" s="683" t="str">
        <f t="shared" si="55"/>
        <v/>
      </c>
      <c r="S66" s="683" t="str">
        <f t="shared" si="55"/>
        <v/>
      </c>
      <c r="T66" s="683" t="str">
        <f t="shared" si="55"/>
        <v/>
      </c>
      <c r="U66" s="683" t="str">
        <f t="shared" si="55"/>
        <v/>
      </c>
      <c r="V66" s="683" t="str">
        <f t="shared" ref="O66:AD68" si="56">IFERROR($D66*V$61,"")</f>
        <v/>
      </c>
      <c r="W66" s="683" t="str">
        <f t="shared" si="56"/>
        <v/>
      </c>
      <c r="X66" s="683" t="str">
        <f t="shared" si="56"/>
        <v/>
      </c>
      <c r="Y66" s="683" t="str">
        <f t="shared" si="56"/>
        <v/>
      </c>
      <c r="Z66" s="683" t="str">
        <f t="shared" si="56"/>
        <v/>
      </c>
      <c r="AA66" s="683" t="str">
        <f t="shared" si="56"/>
        <v/>
      </c>
      <c r="AB66" s="683" t="str">
        <f t="shared" si="56"/>
        <v/>
      </c>
      <c r="AC66" s="683" t="str">
        <f t="shared" si="56"/>
        <v/>
      </c>
      <c r="AD66" s="683" t="str">
        <f t="shared" si="56"/>
        <v/>
      </c>
    </row>
    <row r="67" spans="1:30">
      <c r="A67" s="739"/>
      <c r="B67" s="595" t="s">
        <v>1</v>
      </c>
      <c r="C67" s="709" t="s">
        <v>21</v>
      </c>
      <c r="D67" s="744">
        <f>IFERROR(INDEX('Apoio - Notas Explicativas'!Q:Q,MATCH(C67,'Apoio - Notas Explicativas'!C:C,0)),"")</f>
        <v>0.1111</v>
      </c>
      <c r="E67" s="683">
        <f>IFERROR($D67*E$61,"")</f>
        <v>323.90293979999996</v>
      </c>
      <c r="F67" s="683">
        <f t="shared" si="55"/>
        <v>392.80592881199999</v>
      </c>
      <c r="G67" s="683" t="str">
        <f t="shared" si="55"/>
        <v/>
      </c>
      <c r="H67" s="683" t="str">
        <f t="shared" si="55"/>
        <v/>
      </c>
      <c r="I67" s="683" t="str">
        <f t="shared" si="55"/>
        <v/>
      </c>
      <c r="J67" s="683" t="str">
        <f t="shared" si="55"/>
        <v/>
      </c>
      <c r="K67" s="683" t="str">
        <f t="shared" si="55"/>
        <v/>
      </c>
      <c r="L67" s="683" t="str">
        <f t="shared" si="55"/>
        <v/>
      </c>
      <c r="M67" s="683" t="str">
        <f t="shared" si="55"/>
        <v/>
      </c>
      <c r="N67" s="683" t="str">
        <f t="shared" si="55"/>
        <v/>
      </c>
      <c r="O67" s="683" t="str">
        <f t="shared" si="56"/>
        <v/>
      </c>
      <c r="P67" s="683" t="str">
        <f t="shared" si="56"/>
        <v/>
      </c>
      <c r="Q67" s="683" t="str">
        <f t="shared" si="56"/>
        <v/>
      </c>
      <c r="R67" s="683" t="str">
        <f t="shared" si="56"/>
        <v/>
      </c>
      <c r="S67" s="683" t="str">
        <f t="shared" si="56"/>
        <v/>
      </c>
      <c r="T67" s="683" t="str">
        <f t="shared" si="56"/>
        <v/>
      </c>
      <c r="U67" s="683" t="str">
        <f t="shared" si="56"/>
        <v/>
      </c>
      <c r="V67" s="683" t="str">
        <f t="shared" si="56"/>
        <v/>
      </c>
      <c r="W67" s="683" t="str">
        <f t="shared" si="56"/>
        <v/>
      </c>
      <c r="X67" s="683" t="str">
        <f t="shared" si="56"/>
        <v/>
      </c>
      <c r="Y67" s="683" t="str">
        <f t="shared" si="56"/>
        <v/>
      </c>
      <c r="Z67" s="683" t="str">
        <f t="shared" si="56"/>
        <v/>
      </c>
      <c r="AA67" s="683" t="str">
        <f t="shared" si="56"/>
        <v/>
      </c>
      <c r="AB67" s="683" t="str">
        <f t="shared" si="56"/>
        <v/>
      </c>
      <c r="AC67" s="683" t="str">
        <f t="shared" si="56"/>
        <v/>
      </c>
      <c r="AD67" s="683" t="str">
        <f t="shared" si="56"/>
        <v/>
      </c>
    </row>
    <row r="68" spans="1:30">
      <c r="A68" s="739"/>
      <c r="B68" s="595" t="s">
        <v>0</v>
      </c>
      <c r="C68" s="745" t="s">
        <v>82</v>
      </c>
      <c r="D68" s="744">
        <f>IFERROR(INDEX('Apoio - Notas Explicativas'!Q:Q,MATCH(C68,'Apoio - Notas Explicativas'!C:C,0)),"")</f>
        <v>7.1599999999999997E-2</v>
      </c>
      <c r="E68" s="683">
        <f>IFERROR($D68*E$61,"")</f>
        <v>208.74392879999996</v>
      </c>
      <c r="F68" s="683">
        <f t="shared" si="55"/>
        <v>253.14945547199997</v>
      </c>
      <c r="G68" s="683" t="str">
        <f t="shared" si="55"/>
        <v/>
      </c>
      <c r="H68" s="683" t="str">
        <f t="shared" si="55"/>
        <v/>
      </c>
      <c r="I68" s="683" t="str">
        <f t="shared" si="55"/>
        <v/>
      </c>
      <c r="J68" s="683" t="str">
        <f t="shared" si="55"/>
        <v/>
      </c>
      <c r="K68" s="683" t="str">
        <f t="shared" si="55"/>
        <v/>
      </c>
      <c r="L68" s="683" t="str">
        <f t="shared" si="55"/>
        <v/>
      </c>
      <c r="M68" s="683" t="str">
        <f t="shared" si="55"/>
        <v/>
      </c>
      <c r="N68" s="683" t="str">
        <f t="shared" si="55"/>
        <v/>
      </c>
      <c r="O68" s="683" t="str">
        <f t="shared" si="56"/>
        <v/>
      </c>
      <c r="P68" s="683" t="str">
        <f t="shared" si="56"/>
        <v/>
      </c>
      <c r="Q68" s="683" t="str">
        <f t="shared" si="56"/>
        <v/>
      </c>
      <c r="R68" s="683" t="str">
        <f t="shared" si="56"/>
        <v/>
      </c>
      <c r="S68" s="683" t="str">
        <f t="shared" si="56"/>
        <v/>
      </c>
      <c r="T68" s="683" t="str">
        <f t="shared" si="56"/>
        <v/>
      </c>
      <c r="U68" s="683" t="str">
        <f t="shared" si="56"/>
        <v/>
      </c>
      <c r="V68" s="683" t="str">
        <f t="shared" si="56"/>
        <v/>
      </c>
      <c r="W68" s="683" t="str">
        <f t="shared" si="56"/>
        <v/>
      </c>
      <c r="X68" s="683" t="str">
        <f t="shared" si="56"/>
        <v/>
      </c>
      <c r="Y68" s="683" t="str">
        <f t="shared" si="56"/>
        <v/>
      </c>
      <c r="Z68" s="683" t="str">
        <f t="shared" si="56"/>
        <v/>
      </c>
      <c r="AA68" s="683" t="str">
        <f t="shared" si="56"/>
        <v/>
      </c>
      <c r="AB68" s="683" t="str">
        <f t="shared" si="56"/>
        <v/>
      </c>
      <c r="AC68" s="683" t="str">
        <f t="shared" si="56"/>
        <v/>
      </c>
      <c r="AD68" s="683" t="str">
        <f t="shared" si="56"/>
        <v/>
      </c>
    </row>
    <row r="69" spans="1:30" s="5" customFormat="1">
      <c r="A69" s="746"/>
      <c r="B69" s="538"/>
      <c r="C69" s="539" t="s">
        <v>147</v>
      </c>
      <c r="D69" s="747"/>
      <c r="E69" s="742">
        <f>IF(SUM(E66:E68)=0,"",SUM(E66:E68))</f>
        <v>775.50118799999984</v>
      </c>
      <c r="F69" s="742">
        <f t="shared" ref="F69:H69" si="57">IF(SUM(F66:F68)=0,"",SUM(F66:F68))</f>
        <v>940.47144071999992</v>
      </c>
      <c r="G69" s="743" t="str">
        <f t="shared" si="57"/>
        <v/>
      </c>
      <c r="H69" s="742" t="str">
        <f t="shared" si="57"/>
        <v/>
      </c>
      <c r="I69" s="742" t="str">
        <f t="shared" ref="I69:N69" si="58">IF(SUM(I66:I68)=0,"",SUM(I66:I68))</f>
        <v/>
      </c>
      <c r="J69" s="742" t="str">
        <f t="shared" si="58"/>
        <v/>
      </c>
      <c r="K69" s="742" t="str">
        <f t="shared" si="58"/>
        <v/>
      </c>
      <c r="L69" s="742" t="str">
        <f t="shared" si="58"/>
        <v/>
      </c>
      <c r="M69" s="742" t="str">
        <f t="shared" si="58"/>
        <v/>
      </c>
      <c r="N69" s="742" t="str">
        <f t="shared" si="58"/>
        <v/>
      </c>
      <c r="O69" s="742" t="str">
        <f t="shared" ref="O69:AD69" si="59">IF(SUM(O66:O68)=0,"",SUM(O66:O68))</f>
        <v/>
      </c>
      <c r="P69" s="742" t="str">
        <f t="shared" si="59"/>
        <v/>
      </c>
      <c r="Q69" s="742" t="str">
        <f t="shared" si="59"/>
        <v/>
      </c>
      <c r="R69" s="742" t="str">
        <f t="shared" si="59"/>
        <v/>
      </c>
      <c r="S69" s="742" t="str">
        <f t="shared" si="59"/>
        <v/>
      </c>
      <c r="T69" s="742" t="str">
        <f t="shared" si="59"/>
        <v/>
      </c>
      <c r="U69" s="742" t="str">
        <f t="shared" si="59"/>
        <v/>
      </c>
      <c r="V69" s="742" t="str">
        <f t="shared" si="59"/>
        <v/>
      </c>
      <c r="W69" s="742" t="str">
        <f t="shared" si="59"/>
        <v/>
      </c>
      <c r="X69" s="742" t="str">
        <f t="shared" si="59"/>
        <v/>
      </c>
      <c r="Y69" s="742" t="str">
        <f t="shared" si="59"/>
        <v/>
      </c>
      <c r="Z69" s="742" t="str">
        <f t="shared" si="59"/>
        <v/>
      </c>
      <c r="AA69" s="742" t="str">
        <f t="shared" si="59"/>
        <v/>
      </c>
      <c r="AB69" s="742" t="str">
        <f t="shared" si="59"/>
        <v/>
      </c>
      <c r="AC69" s="742" t="str">
        <f t="shared" si="59"/>
        <v/>
      </c>
      <c r="AD69" s="742" t="str">
        <f t="shared" si="59"/>
        <v/>
      </c>
    </row>
    <row r="70" spans="1:30" customFormat="1" ht="3.75" customHeight="1"/>
    <row r="71" spans="1:30" s="6" customFormat="1">
      <c r="A71" s="746"/>
      <c r="B71" s="538"/>
      <c r="C71" s="539" t="s">
        <v>190</v>
      </c>
      <c r="D71" s="741"/>
      <c r="E71" s="742"/>
      <c r="F71" s="743"/>
      <c r="G71" s="743"/>
      <c r="H71" s="742"/>
      <c r="I71" s="742"/>
      <c r="J71" s="742"/>
      <c r="K71" s="742"/>
      <c r="L71" s="742"/>
      <c r="M71" s="742"/>
      <c r="N71" s="742"/>
      <c r="O71" s="742"/>
      <c r="P71" s="742"/>
      <c r="Q71" s="742"/>
      <c r="R71" s="742"/>
      <c r="S71" s="742"/>
      <c r="T71" s="742"/>
      <c r="U71" s="742"/>
      <c r="V71" s="742"/>
      <c r="W71" s="742"/>
      <c r="X71" s="742"/>
      <c r="Y71" s="742"/>
      <c r="Z71" s="742"/>
      <c r="AA71" s="742"/>
      <c r="AB71" s="742"/>
      <c r="AC71" s="742"/>
      <c r="AD71" s="742"/>
    </row>
    <row r="72" spans="1:30">
      <c r="A72" s="746"/>
      <c r="B72" s="595" t="s">
        <v>2</v>
      </c>
      <c r="C72" s="709" t="s">
        <v>51</v>
      </c>
      <c r="D72" s="744">
        <f>IFERROR(INDEX('Apoio - Notas Explicativas'!Q:Q,MATCH(C72,'Apoio - Notas Explicativas'!C:C,0)),"")</f>
        <v>0.2</v>
      </c>
      <c r="E72" s="683">
        <f t="shared" ref="E72:T77" si="60">IFERROR($D72*E$61,"")</f>
        <v>583.08359999999993</v>
      </c>
      <c r="F72" s="748">
        <f t="shared" si="60"/>
        <v>707.12138400000003</v>
      </c>
      <c r="G72" s="748" t="str">
        <f t="shared" si="60"/>
        <v/>
      </c>
      <c r="H72" s="683" t="str">
        <f t="shared" si="60"/>
        <v/>
      </c>
      <c r="I72" s="683" t="str">
        <f t="shared" si="60"/>
        <v/>
      </c>
      <c r="J72" s="683" t="str">
        <f t="shared" si="60"/>
        <v/>
      </c>
      <c r="K72" s="683" t="str">
        <f t="shared" si="60"/>
        <v/>
      </c>
      <c r="L72" s="683" t="str">
        <f t="shared" si="60"/>
        <v/>
      </c>
      <c r="M72" s="683" t="str">
        <f t="shared" si="60"/>
        <v/>
      </c>
      <c r="N72" s="683" t="str">
        <f t="shared" si="60"/>
        <v/>
      </c>
      <c r="O72" s="683" t="str">
        <f t="shared" si="60"/>
        <v/>
      </c>
      <c r="P72" s="683" t="str">
        <f t="shared" si="60"/>
        <v/>
      </c>
      <c r="Q72" s="683" t="str">
        <f t="shared" si="60"/>
        <v/>
      </c>
      <c r="R72" s="683" t="str">
        <f t="shared" si="60"/>
        <v/>
      </c>
      <c r="S72" s="683" t="str">
        <f t="shared" si="60"/>
        <v/>
      </c>
      <c r="T72" s="683" t="str">
        <f t="shared" si="60"/>
        <v/>
      </c>
      <c r="U72" s="683" t="str">
        <f t="shared" ref="O72:AD77" si="61">IFERROR($D72*U$61,"")</f>
        <v/>
      </c>
      <c r="V72" s="683" t="str">
        <f t="shared" si="61"/>
        <v/>
      </c>
      <c r="W72" s="683" t="str">
        <f t="shared" si="61"/>
        <v/>
      </c>
      <c r="X72" s="683" t="str">
        <f t="shared" si="61"/>
        <v/>
      </c>
      <c r="Y72" s="683" t="str">
        <f t="shared" si="61"/>
        <v/>
      </c>
      <c r="Z72" s="683" t="str">
        <f t="shared" si="61"/>
        <v/>
      </c>
      <c r="AA72" s="683" t="str">
        <f t="shared" si="61"/>
        <v/>
      </c>
      <c r="AB72" s="683" t="str">
        <f t="shared" si="61"/>
        <v/>
      </c>
      <c r="AC72" s="683" t="str">
        <f t="shared" si="61"/>
        <v/>
      </c>
      <c r="AD72" s="683" t="str">
        <f t="shared" si="61"/>
        <v/>
      </c>
    </row>
    <row r="73" spans="1:30">
      <c r="A73" s="739"/>
      <c r="B73" s="595" t="s">
        <v>1</v>
      </c>
      <c r="C73" s="725" t="s">
        <v>52</v>
      </c>
      <c r="D73" s="744">
        <v>0</v>
      </c>
      <c r="E73" s="683">
        <f t="shared" si="60"/>
        <v>0</v>
      </c>
      <c r="F73" s="748">
        <f t="shared" si="60"/>
        <v>0</v>
      </c>
      <c r="G73" s="748" t="str">
        <f t="shared" si="60"/>
        <v/>
      </c>
      <c r="H73" s="683" t="str">
        <f t="shared" si="60"/>
        <v/>
      </c>
      <c r="I73" s="683" t="str">
        <f t="shared" si="60"/>
        <v/>
      </c>
      <c r="J73" s="683" t="str">
        <f t="shared" si="60"/>
        <v/>
      </c>
      <c r="K73" s="683" t="str">
        <f t="shared" si="60"/>
        <v/>
      </c>
      <c r="L73" s="683" t="str">
        <f t="shared" si="60"/>
        <v/>
      </c>
      <c r="M73" s="683" t="str">
        <f t="shared" si="60"/>
        <v/>
      </c>
      <c r="N73" s="683" t="str">
        <f t="shared" si="60"/>
        <v/>
      </c>
      <c r="O73" s="683" t="str">
        <f t="shared" si="61"/>
        <v/>
      </c>
      <c r="P73" s="683" t="str">
        <f t="shared" si="61"/>
        <v/>
      </c>
      <c r="Q73" s="683" t="str">
        <f t="shared" si="61"/>
        <v/>
      </c>
      <c r="R73" s="683" t="str">
        <f t="shared" si="61"/>
        <v/>
      </c>
      <c r="S73" s="683" t="str">
        <f t="shared" si="61"/>
        <v/>
      </c>
      <c r="T73" s="683" t="str">
        <f t="shared" si="61"/>
        <v/>
      </c>
      <c r="U73" s="683" t="str">
        <f t="shared" si="61"/>
        <v/>
      </c>
      <c r="V73" s="683" t="str">
        <f t="shared" si="61"/>
        <v/>
      </c>
      <c r="W73" s="683" t="str">
        <f t="shared" si="61"/>
        <v/>
      </c>
      <c r="X73" s="683" t="str">
        <f t="shared" si="61"/>
        <v/>
      </c>
      <c r="Y73" s="683" t="str">
        <f t="shared" si="61"/>
        <v/>
      </c>
      <c r="Z73" s="683" t="str">
        <f t="shared" si="61"/>
        <v/>
      </c>
      <c r="AA73" s="683" t="str">
        <f t="shared" si="61"/>
        <v/>
      </c>
      <c r="AB73" s="683" t="str">
        <f t="shared" si="61"/>
        <v/>
      </c>
      <c r="AC73" s="683" t="str">
        <f t="shared" si="61"/>
        <v/>
      </c>
      <c r="AD73" s="683" t="str">
        <f t="shared" si="61"/>
        <v/>
      </c>
    </row>
    <row r="74" spans="1:30">
      <c r="A74" s="739"/>
      <c r="B74" s="595" t="s">
        <v>0</v>
      </c>
      <c r="C74" s="709" t="s">
        <v>53</v>
      </c>
      <c r="D74" s="744">
        <v>0</v>
      </c>
      <c r="E74" s="683">
        <f t="shared" si="60"/>
        <v>0</v>
      </c>
      <c r="F74" s="748">
        <f t="shared" si="60"/>
        <v>0</v>
      </c>
      <c r="G74" s="748" t="str">
        <f t="shared" si="60"/>
        <v/>
      </c>
      <c r="H74" s="683" t="str">
        <f t="shared" si="60"/>
        <v/>
      </c>
      <c r="I74" s="683" t="str">
        <f t="shared" si="60"/>
        <v/>
      </c>
      <c r="J74" s="683" t="str">
        <f t="shared" si="60"/>
        <v/>
      </c>
      <c r="K74" s="683" t="str">
        <f t="shared" si="60"/>
        <v/>
      </c>
      <c r="L74" s="683" t="str">
        <f t="shared" si="60"/>
        <v/>
      </c>
      <c r="M74" s="683" t="str">
        <f t="shared" si="60"/>
        <v/>
      </c>
      <c r="N74" s="683" t="str">
        <f t="shared" si="60"/>
        <v/>
      </c>
      <c r="O74" s="683" t="str">
        <f t="shared" si="61"/>
        <v/>
      </c>
      <c r="P74" s="683" t="str">
        <f t="shared" si="61"/>
        <v/>
      </c>
      <c r="Q74" s="683" t="str">
        <f t="shared" si="61"/>
        <v/>
      </c>
      <c r="R74" s="683" t="str">
        <f t="shared" si="61"/>
        <v/>
      </c>
      <c r="S74" s="683" t="str">
        <f t="shared" si="61"/>
        <v/>
      </c>
      <c r="T74" s="683" t="str">
        <f t="shared" si="61"/>
        <v/>
      </c>
      <c r="U74" s="683" t="str">
        <f t="shared" si="61"/>
        <v/>
      </c>
      <c r="V74" s="683" t="str">
        <f t="shared" si="61"/>
        <v/>
      </c>
      <c r="W74" s="683" t="str">
        <f t="shared" si="61"/>
        <v/>
      </c>
      <c r="X74" s="683" t="str">
        <f t="shared" si="61"/>
        <v/>
      </c>
      <c r="Y74" s="683" t="str">
        <f t="shared" si="61"/>
        <v/>
      </c>
      <c r="Z74" s="683" t="str">
        <f t="shared" si="61"/>
        <v/>
      </c>
      <c r="AA74" s="683" t="str">
        <f t="shared" si="61"/>
        <v/>
      </c>
      <c r="AB74" s="683" t="str">
        <f t="shared" si="61"/>
        <v/>
      </c>
      <c r="AC74" s="683" t="str">
        <f t="shared" si="61"/>
        <v/>
      </c>
      <c r="AD74" s="683" t="str">
        <f t="shared" si="61"/>
        <v/>
      </c>
    </row>
    <row r="75" spans="1:30">
      <c r="A75" s="739"/>
      <c r="B75" s="595" t="s">
        <v>3</v>
      </c>
      <c r="C75" s="709" t="s">
        <v>54</v>
      </c>
      <c r="D75" s="744">
        <v>0</v>
      </c>
      <c r="E75" s="683">
        <f t="shared" si="60"/>
        <v>0</v>
      </c>
      <c r="F75" s="748">
        <f t="shared" si="60"/>
        <v>0</v>
      </c>
      <c r="G75" s="748" t="str">
        <f t="shared" si="60"/>
        <v/>
      </c>
      <c r="H75" s="683" t="str">
        <f t="shared" si="60"/>
        <v/>
      </c>
      <c r="I75" s="683" t="str">
        <f t="shared" si="60"/>
        <v/>
      </c>
      <c r="J75" s="683" t="str">
        <f t="shared" si="60"/>
        <v/>
      </c>
      <c r="K75" s="683" t="str">
        <f t="shared" si="60"/>
        <v/>
      </c>
      <c r="L75" s="683" t="str">
        <f t="shared" si="60"/>
        <v/>
      </c>
      <c r="M75" s="683" t="str">
        <f t="shared" si="60"/>
        <v/>
      </c>
      <c r="N75" s="683" t="str">
        <f t="shared" si="60"/>
        <v/>
      </c>
      <c r="O75" s="683" t="str">
        <f t="shared" si="61"/>
        <v/>
      </c>
      <c r="P75" s="683" t="str">
        <f t="shared" si="61"/>
        <v/>
      </c>
      <c r="Q75" s="683" t="str">
        <f t="shared" si="61"/>
        <v/>
      </c>
      <c r="R75" s="683" t="str">
        <f t="shared" si="61"/>
        <v/>
      </c>
      <c r="S75" s="683" t="str">
        <f t="shared" si="61"/>
        <v/>
      </c>
      <c r="T75" s="683" t="str">
        <f t="shared" si="61"/>
        <v/>
      </c>
      <c r="U75" s="683" t="str">
        <f t="shared" si="61"/>
        <v/>
      </c>
      <c r="V75" s="683" t="str">
        <f t="shared" si="61"/>
        <v/>
      </c>
      <c r="W75" s="683" t="str">
        <f t="shared" si="61"/>
        <v/>
      </c>
      <c r="X75" s="683" t="str">
        <f t="shared" si="61"/>
        <v/>
      </c>
      <c r="Y75" s="683" t="str">
        <f t="shared" si="61"/>
        <v/>
      </c>
      <c r="Z75" s="683" t="str">
        <f t="shared" si="61"/>
        <v/>
      </c>
      <c r="AA75" s="683" t="str">
        <f t="shared" si="61"/>
        <v/>
      </c>
      <c r="AB75" s="683" t="str">
        <f t="shared" si="61"/>
        <v/>
      </c>
      <c r="AC75" s="683" t="str">
        <f t="shared" si="61"/>
        <v/>
      </c>
      <c r="AD75" s="683" t="str">
        <f t="shared" si="61"/>
        <v/>
      </c>
    </row>
    <row r="76" spans="1:30">
      <c r="A76" s="739"/>
      <c r="B76" s="595" t="s">
        <v>7</v>
      </c>
      <c r="C76" s="709" t="s">
        <v>55</v>
      </c>
      <c r="D76" s="744">
        <f>IFERROR(INDEX('Apoio - Notas Explicativas'!Q:Q,MATCH(C76,'Apoio - Notas Explicativas'!C:C,0)),"")</f>
        <v>2.5000000000000001E-2</v>
      </c>
      <c r="E76" s="683">
        <f t="shared" si="60"/>
        <v>72.885449999999992</v>
      </c>
      <c r="F76" s="748">
        <f t="shared" si="60"/>
        <v>88.390173000000004</v>
      </c>
      <c r="G76" s="748" t="str">
        <f t="shared" si="60"/>
        <v/>
      </c>
      <c r="H76" s="683" t="str">
        <f t="shared" si="60"/>
        <v/>
      </c>
      <c r="I76" s="683" t="str">
        <f t="shared" si="60"/>
        <v/>
      </c>
      <c r="J76" s="683" t="str">
        <f t="shared" si="60"/>
        <v/>
      </c>
      <c r="K76" s="683" t="str">
        <f t="shared" si="60"/>
        <v/>
      </c>
      <c r="L76" s="683" t="str">
        <f t="shared" si="60"/>
        <v/>
      </c>
      <c r="M76" s="683" t="str">
        <f t="shared" si="60"/>
        <v/>
      </c>
      <c r="N76" s="683" t="str">
        <f t="shared" si="60"/>
        <v/>
      </c>
      <c r="O76" s="683" t="str">
        <f t="shared" si="61"/>
        <v/>
      </c>
      <c r="P76" s="683" t="str">
        <f t="shared" si="61"/>
        <v/>
      </c>
      <c r="Q76" s="683" t="str">
        <f t="shared" si="61"/>
        <v/>
      </c>
      <c r="R76" s="683" t="str">
        <f t="shared" si="61"/>
        <v/>
      </c>
      <c r="S76" s="683" t="str">
        <f t="shared" si="61"/>
        <v/>
      </c>
      <c r="T76" s="683" t="str">
        <f t="shared" si="61"/>
        <v/>
      </c>
      <c r="U76" s="683" t="str">
        <f t="shared" si="61"/>
        <v/>
      </c>
      <c r="V76" s="683" t="str">
        <f t="shared" si="61"/>
        <v/>
      </c>
      <c r="W76" s="683" t="str">
        <f t="shared" si="61"/>
        <v/>
      </c>
      <c r="X76" s="683" t="str">
        <f t="shared" si="61"/>
        <v/>
      </c>
      <c r="Y76" s="683" t="str">
        <f t="shared" si="61"/>
        <v/>
      </c>
      <c r="Z76" s="683" t="str">
        <f t="shared" si="61"/>
        <v/>
      </c>
      <c r="AA76" s="683" t="str">
        <f t="shared" si="61"/>
        <v/>
      </c>
      <c r="AB76" s="683" t="str">
        <f t="shared" si="61"/>
        <v/>
      </c>
      <c r="AC76" s="683" t="str">
        <f t="shared" si="61"/>
        <v/>
      </c>
      <c r="AD76" s="683" t="str">
        <f t="shared" si="61"/>
        <v/>
      </c>
    </row>
    <row r="77" spans="1:30">
      <c r="A77" s="739"/>
      <c r="B77" s="595" t="s">
        <v>6</v>
      </c>
      <c r="C77" s="709" t="s">
        <v>56</v>
      </c>
      <c r="D77" s="744">
        <f>IFERROR(INDEX('Apoio - Notas Explicativas'!Q:Q,MATCH(C77,'Apoio - Notas Explicativas'!C:C,0)),"")</f>
        <v>0.08</v>
      </c>
      <c r="E77" s="683">
        <f t="shared" si="60"/>
        <v>233.23343999999997</v>
      </c>
      <c r="F77" s="748">
        <f t="shared" si="60"/>
        <v>282.8485536</v>
      </c>
      <c r="G77" s="748" t="str">
        <f t="shared" si="60"/>
        <v/>
      </c>
      <c r="H77" s="683" t="str">
        <f t="shared" si="60"/>
        <v/>
      </c>
      <c r="I77" s="683" t="str">
        <f t="shared" si="60"/>
        <v/>
      </c>
      <c r="J77" s="683" t="str">
        <f t="shared" si="60"/>
        <v/>
      </c>
      <c r="K77" s="683" t="str">
        <f t="shared" si="60"/>
        <v/>
      </c>
      <c r="L77" s="683" t="str">
        <f t="shared" si="60"/>
        <v/>
      </c>
      <c r="M77" s="683" t="str">
        <f t="shared" si="60"/>
        <v/>
      </c>
      <c r="N77" s="683" t="str">
        <f t="shared" si="60"/>
        <v/>
      </c>
      <c r="O77" s="683" t="str">
        <f t="shared" si="61"/>
        <v/>
      </c>
      <c r="P77" s="683" t="str">
        <f t="shared" si="61"/>
        <v/>
      </c>
      <c r="Q77" s="683" t="str">
        <f t="shared" si="61"/>
        <v/>
      </c>
      <c r="R77" s="683" t="str">
        <f t="shared" si="61"/>
        <v/>
      </c>
      <c r="S77" s="683" t="str">
        <f t="shared" si="61"/>
        <v/>
      </c>
      <c r="T77" s="683" t="str">
        <f t="shared" si="61"/>
        <v/>
      </c>
      <c r="U77" s="683" t="str">
        <f t="shared" si="61"/>
        <v/>
      </c>
      <c r="V77" s="683" t="str">
        <f t="shared" si="61"/>
        <v/>
      </c>
      <c r="W77" s="683" t="str">
        <f t="shared" si="61"/>
        <v/>
      </c>
      <c r="X77" s="683" t="str">
        <f t="shared" si="61"/>
        <v/>
      </c>
      <c r="Y77" s="683" t="str">
        <f t="shared" si="61"/>
        <v/>
      </c>
      <c r="Z77" s="683" t="str">
        <f t="shared" si="61"/>
        <v/>
      </c>
      <c r="AA77" s="683" t="str">
        <f t="shared" si="61"/>
        <v/>
      </c>
      <c r="AB77" s="683" t="str">
        <f t="shared" si="61"/>
        <v/>
      </c>
      <c r="AC77" s="683" t="str">
        <f t="shared" si="61"/>
        <v/>
      </c>
      <c r="AD77" s="683" t="str">
        <f t="shared" si="61"/>
        <v/>
      </c>
    </row>
    <row r="78" spans="1:30">
      <c r="A78" s="739"/>
      <c r="B78" s="862" t="s">
        <v>5</v>
      </c>
      <c r="C78" s="749" t="str">
        <f>CONCATENATE("GILL/RAT (RAT ",D79," x FAP ",D80,")")</f>
        <v>GILL/RAT (RAT 0,03 x FAP 1)</v>
      </c>
      <c r="D78" s="685"/>
      <c r="E78" s="237"/>
      <c r="F78" s="422"/>
      <c r="G78" s="422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</row>
    <row r="79" spans="1:30">
      <c r="A79" s="739"/>
      <c r="B79" s="863"/>
      <c r="C79" s="750" t="s">
        <v>49</v>
      </c>
      <c r="D79" s="423">
        <f>VLOOKUP(C79,'Apoio - Notas Explicativas'!$C:$Q,14,FALSE)</f>
        <v>0.03</v>
      </c>
      <c r="E79" s="423"/>
      <c r="F79" s="423"/>
      <c r="G79" s="423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57"/>
      <c r="AB79" s="457"/>
      <c r="AC79" s="457"/>
      <c r="AD79" s="457"/>
    </row>
    <row r="80" spans="1:30">
      <c r="A80" s="739"/>
      <c r="B80" s="871"/>
      <c r="C80" s="751" t="s">
        <v>44</v>
      </c>
      <c r="D80" s="752">
        <f>VLOOKUP(C80,'Apoio - Notas Explicativas'!$C:$Q,14,FALSE)</f>
        <v>1</v>
      </c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</row>
    <row r="81" spans="1:30">
      <c r="A81" s="739"/>
      <c r="B81" s="864"/>
      <c r="C81" s="709"/>
      <c r="D81" s="753">
        <f>D80*D79</f>
        <v>0.03</v>
      </c>
      <c r="E81" s="754">
        <f>IFERROR($D81*E$61,"")</f>
        <v>87.46253999999999</v>
      </c>
      <c r="F81" s="754">
        <f t="shared" ref="F81:U82" si="62">IFERROR($D81*F$61,"")</f>
        <v>106.06820759999999</v>
      </c>
      <c r="G81" s="754" t="str">
        <f t="shared" si="62"/>
        <v/>
      </c>
      <c r="H81" s="754" t="str">
        <f t="shared" si="62"/>
        <v/>
      </c>
      <c r="I81" s="754" t="str">
        <f t="shared" si="62"/>
        <v/>
      </c>
      <c r="J81" s="754" t="str">
        <f t="shared" si="62"/>
        <v/>
      </c>
      <c r="K81" s="754" t="str">
        <f t="shared" si="62"/>
        <v/>
      </c>
      <c r="L81" s="754" t="str">
        <f t="shared" si="62"/>
        <v/>
      </c>
      <c r="M81" s="754" t="str">
        <f t="shared" si="62"/>
        <v/>
      </c>
      <c r="N81" s="754" t="str">
        <f t="shared" si="62"/>
        <v/>
      </c>
      <c r="O81" s="754" t="str">
        <f t="shared" si="62"/>
        <v/>
      </c>
      <c r="P81" s="754" t="str">
        <f t="shared" si="62"/>
        <v/>
      </c>
      <c r="Q81" s="754" t="str">
        <f t="shared" si="62"/>
        <v/>
      </c>
      <c r="R81" s="754" t="str">
        <f t="shared" si="62"/>
        <v/>
      </c>
      <c r="S81" s="754" t="str">
        <f t="shared" si="62"/>
        <v/>
      </c>
      <c r="T81" s="754" t="str">
        <f t="shared" si="62"/>
        <v/>
      </c>
      <c r="U81" s="754" t="str">
        <f t="shared" si="62"/>
        <v/>
      </c>
      <c r="V81" s="754" t="str">
        <f t="shared" ref="O81:AD82" si="63">IFERROR($D81*V$61,"")</f>
        <v/>
      </c>
      <c r="W81" s="754" t="str">
        <f t="shared" si="63"/>
        <v/>
      </c>
      <c r="X81" s="754" t="str">
        <f t="shared" si="63"/>
        <v/>
      </c>
      <c r="Y81" s="754" t="str">
        <f t="shared" si="63"/>
        <v/>
      </c>
      <c r="Z81" s="754" t="str">
        <f t="shared" si="63"/>
        <v/>
      </c>
      <c r="AA81" s="754" t="str">
        <f t="shared" si="63"/>
        <v/>
      </c>
      <c r="AB81" s="754" t="str">
        <f t="shared" si="63"/>
        <v/>
      </c>
      <c r="AC81" s="754" t="str">
        <f t="shared" si="63"/>
        <v/>
      </c>
      <c r="AD81" s="754" t="str">
        <f t="shared" si="63"/>
        <v/>
      </c>
    </row>
    <row r="82" spans="1:30">
      <c r="A82" s="746"/>
      <c r="B82" s="595" t="s">
        <v>4</v>
      </c>
      <c r="C82" s="709" t="s">
        <v>57</v>
      </c>
      <c r="D82" s="744">
        <v>0</v>
      </c>
      <c r="E82" s="748">
        <f>IFERROR($D82*E$61,"")</f>
        <v>0</v>
      </c>
      <c r="F82" s="748">
        <f t="shared" si="62"/>
        <v>0</v>
      </c>
      <c r="G82" s="748" t="str">
        <f t="shared" si="62"/>
        <v/>
      </c>
      <c r="H82" s="748" t="str">
        <f t="shared" si="62"/>
        <v/>
      </c>
      <c r="I82" s="748" t="str">
        <f t="shared" si="62"/>
        <v/>
      </c>
      <c r="J82" s="748" t="str">
        <f t="shared" si="62"/>
        <v/>
      </c>
      <c r="K82" s="748" t="str">
        <f t="shared" si="62"/>
        <v/>
      </c>
      <c r="L82" s="748" t="str">
        <f t="shared" si="62"/>
        <v/>
      </c>
      <c r="M82" s="748" t="str">
        <f t="shared" si="62"/>
        <v/>
      </c>
      <c r="N82" s="748" t="str">
        <f t="shared" si="62"/>
        <v/>
      </c>
      <c r="O82" s="748" t="str">
        <f t="shared" si="63"/>
        <v/>
      </c>
      <c r="P82" s="748" t="str">
        <f t="shared" si="63"/>
        <v/>
      </c>
      <c r="Q82" s="748" t="str">
        <f t="shared" si="63"/>
        <v/>
      </c>
      <c r="R82" s="748" t="str">
        <f t="shared" si="63"/>
        <v/>
      </c>
      <c r="S82" s="748" t="str">
        <f t="shared" si="63"/>
        <v/>
      </c>
      <c r="T82" s="748" t="str">
        <f t="shared" si="63"/>
        <v/>
      </c>
      <c r="U82" s="748" t="str">
        <f t="shared" si="63"/>
        <v/>
      </c>
      <c r="V82" s="748" t="str">
        <f t="shared" si="63"/>
        <v/>
      </c>
      <c r="W82" s="748" t="str">
        <f t="shared" si="63"/>
        <v/>
      </c>
      <c r="X82" s="748" t="str">
        <f t="shared" si="63"/>
        <v/>
      </c>
      <c r="Y82" s="748" t="str">
        <f t="shared" si="63"/>
        <v/>
      </c>
      <c r="Z82" s="748" t="str">
        <f t="shared" si="63"/>
        <v/>
      </c>
      <c r="AA82" s="748" t="str">
        <f t="shared" si="63"/>
        <v/>
      </c>
      <c r="AB82" s="748" t="str">
        <f t="shared" si="63"/>
        <v/>
      </c>
      <c r="AC82" s="748" t="str">
        <f t="shared" si="63"/>
        <v/>
      </c>
      <c r="AD82" s="748" t="str">
        <f t="shared" si="63"/>
        <v/>
      </c>
    </row>
    <row r="83" spans="1:30" s="5" customFormat="1">
      <c r="A83" s="746"/>
      <c r="B83" s="538"/>
      <c r="C83" s="539" t="s">
        <v>146</v>
      </c>
      <c r="D83" s="747"/>
      <c r="E83" s="742">
        <f>IF((SUM(E72:E77,E81,E82))=0,"",(SUM(E72:E77,E81,E82)))</f>
        <v>976.66502999999989</v>
      </c>
      <c r="F83" s="742">
        <f t="shared" ref="F83:H83" si="64">IF((SUM(F72:F77,F81,F82))=0,"",(SUM(F72:F77,F81,F82)))</f>
        <v>1184.4283182000001</v>
      </c>
      <c r="G83" s="742" t="str">
        <f t="shared" si="64"/>
        <v/>
      </c>
      <c r="H83" s="742" t="str">
        <f t="shared" si="64"/>
        <v/>
      </c>
      <c r="I83" s="742" t="str">
        <f t="shared" ref="I83:N83" si="65">IF((SUM(I72:I77,I81,I82))=0,"",(SUM(I72:I77,I81,I82)))</f>
        <v/>
      </c>
      <c r="J83" s="742" t="str">
        <f t="shared" si="65"/>
        <v/>
      </c>
      <c r="K83" s="742" t="str">
        <f t="shared" si="65"/>
        <v/>
      </c>
      <c r="L83" s="742" t="str">
        <f t="shared" si="65"/>
        <v/>
      </c>
      <c r="M83" s="742" t="str">
        <f t="shared" si="65"/>
        <v/>
      </c>
      <c r="N83" s="742" t="str">
        <f t="shared" si="65"/>
        <v/>
      </c>
      <c r="O83" s="742" t="str">
        <f t="shared" ref="O83:AD83" si="66">IF((SUM(O72:O77,O81,O82))=0,"",(SUM(O72:O77,O81,O82)))</f>
        <v/>
      </c>
      <c r="P83" s="742" t="str">
        <f t="shared" si="66"/>
        <v/>
      </c>
      <c r="Q83" s="742" t="str">
        <f t="shared" si="66"/>
        <v/>
      </c>
      <c r="R83" s="742" t="str">
        <f t="shared" si="66"/>
        <v/>
      </c>
      <c r="S83" s="742" t="str">
        <f t="shared" si="66"/>
        <v/>
      </c>
      <c r="T83" s="742" t="str">
        <f t="shared" si="66"/>
        <v/>
      </c>
      <c r="U83" s="742" t="str">
        <f t="shared" si="66"/>
        <v/>
      </c>
      <c r="V83" s="742" t="str">
        <f t="shared" si="66"/>
        <v/>
      </c>
      <c r="W83" s="742" t="str">
        <f t="shared" si="66"/>
        <v/>
      </c>
      <c r="X83" s="742" t="str">
        <f t="shared" si="66"/>
        <v/>
      </c>
      <c r="Y83" s="742" t="str">
        <f t="shared" si="66"/>
        <v/>
      </c>
      <c r="Z83" s="742" t="str">
        <f t="shared" si="66"/>
        <v/>
      </c>
      <c r="AA83" s="742" t="str">
        <f t="shared" si="66"/>
        <v/>
      </c>
      <c r="AB83" s="742" t="str">
        <f t="shared" si="66"/>
        <v/>
      </c>
      <c r="AC83" s="742" t="str">
        <f t="shared" si="66"/>
        <v/>
      </c>
      <c r="AD83" s="742" t="str">
        <f t="shared" si="66"/>
        <v/>
      </c>
    </row>
    <row r="84" spans="1:30" customFormat="1" ht="3.75" customHeight="1"/>
    <row r="85" spans="1:30" s="6" customFormat="1">
      <c r="A85" s="746"/>
      <c r="B85" s="755"/>
      <c r="C85" s="756" t="s">
        <v>154</v>
      </c>
      <c r="D85" s="757"/>
      <c r="E85" s="742"/>
      <c r="F85" s="742"/>
      <c r="G85" s="742"/>
      <c r="H85" s="742"/>
      <c r="I85" s="742"/>
      <c r="J85" s="742"/>
      <c r="K85" s="742"/>
      <c r="L85" s="742"/>
      <c r="M85" s="742"/>
      <c r="N85" s="742"/>
      <c r="O85" s="742"/>
      <c r="P85" s="742"/>
      <c r="Q85" s="742"/>
      <c r="R85" s="742"/>
      <c r="S85" s="742"/>
      <c r="T85" s="742"/>
      <c r="U85" s="742"/>
      <c r="V85" s="742"/>
      <c r="W85" s="742"/>
      <c r="X85" s="742"/>
      <c r="Y85" s="742"/>
      <c r="Z85" s="742"/>
      <c r="AA85" s="742"/>
      <c r="AB85" s="742"/>
      <c r="AC85" s="742"/>
      <c r="AD85" s="742"/>
    </row>
    <row r="86" spans="1:30" s="12" customFormat="1">
      <c r="A86" s="739"/>
      <c r="B86" s="862" t="s">
        <v>2</v>
      </c>
      <c r="C86" s="749" t="s">
        <v>88</v>
      </c>
      <c r="D86" s="75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</row>
    <row r="87" spans="1:30">
      <c r="A87" s="739"/>
      <c r="B87" s="863"/>
      <c r="C87" s="750" t="s">
        <v>89</v>
      </c>
      <c r="D87" s="759"/>
      <c r="E87" s="760">
        <f>IF(E18="","",4.8)</f>
        <v>4.8</v>
      </c>
      <c r="F87" s="760">
        <f t="shared" ref="F87:H87" si="67">IF(F18="","",4.8)</f>
        <v>4.8</v>
      </c>
      <c r="G87" s="760" t="str">
        <f t="shared" si="67"/>
        <v/>
      </c>
      <c r="H87" s="760" t="str">
        <f t="shared" si="67"/>
        <v/>
      </c>
      <c r="I87" s="760" t="str">
        <f t="shared" ref="I87:N87" si="68">IF(I18="","",4.8)</f>
        <v/>
      </c>
      <c r="J87" s="760" t="str">
        <f t="shared" si="68"/>
        <v/>
      </c>
      <c r="K87" s="760" t="str">
        <f t="shared" si="68"/>
        <v/>
      </c>
      <c r="L87" s="760" t="str">
        <f t="shared" si="68"/>
        <v/>
      </c>
      <c r="M87" s="760" t="str">
        <f t="shared" si="68"/>
        <v/>
      </c>
      <c r="N87" s="760" t="str">
        <f t="shared" si="68"/>
        <v/>
      </c>
      <c r="O87" s="760" t="str">
        <f t="shared" ref="O87:AD87" si="69">IF(O18="","",4.8)</f>
        <v/>
      </c>
      <c r="P87" s="760" t="str">
        <f t="shared" si="69"/>
        <v/>
      </c>
      <c r="Q87" s="760" t="str">
        <f t="shared" si="69"/>
        <v/>
      </c>
      <c r="R87" s="760" t="str">
        <f t="shared" si="69"/>
        <v/>
      </c>
      <c r="S87" s="760" t="str">
        <f t="shared" si="69"/>
        <v/>
      </c>
      <c r="T87" s="760" t="str">
        <f t="shared" si="69"/>
        <v/>
      </c>
      <c r="U87" s="760" t="str">
        <f t="shared" si="69"/>
        <v/>
      </c>
      <c r="V87" s="760" t="str">
        <f t="shared" si="69"/>
        <v/>
      </c>
      <c r="W87" s="760" t="str">
        <f t="shared" si="69"/>
        <v/>
      </c>
      <c r="X87" s="760" t="str">
        <f t="shared" si="69"/>
        <v/>
      </c>
      <c r="Y87" s="760" t="str">
        <f t="shared" si="69"/>
        <v/>
      </c>
      <c r="Z87" s="760" t="str">
        <f t="shared" si="69"/>
        <v/>
      </c>
      <c r="AA87" s="760" t="str">
        <f t="shared" si="69"/>
        <v/>
      </c>
      <c r="AB87" s="760" t="str">
        <f t="shared" si="69"/>
        <v/>
      </c>
      <c r="AC87" s="760" t="str">
        <f t="shared" si="69"/>
        <v/>
      </c>
      <c r="AD87" s="760" t="str">
        <f t="shared" si="69"/>
        <v/>
      </c>
    </row>
    <row r="88" spans="1:30">
      <c r="A88" s="739"/>
      <c r="B88" s="863"/>
      <c r="C88" s="695" t="s">
        <v>135</v>
      </c>
      <c r="D88" s="761"/>
      <c r="E88" s="762">
        <f>IF(E18="","",2)</f>
        <v>2</v>
      </c>
      <c r="F88" s="762">
        <f t="shared" ref="F88:H88" si="70">IF(F18="","",2)</f>
        <v>2</v>
      </c>
      <c r="G88" s="762" t="str">
        <f t="shared" si="70"/>
        <v/>
      </c>
      <c r="H88" s="762" t="str">
        <f t="shared" si="70"/>
        <v/>
      </c>
      <c r="I88" s="762" t="str">
        <f t="shared" ref="I88:N88" si="71">IF(I18="","",2)</f>
        <v/>
      </c>
      <c r="J88" s="762" t="str">
        <f t="shared" si="71"/>
        <v/>
      </c>
      <c r="K88" s="762" t="str">
        <f t="shared" si="71"/>
        <v/>
      </c>
      <c r="L88" s="762" t="str">
        <f t="shared" si="71"/>
        <v/>
      </c>
      <c r="M88" s="762" t="str">
        <f t="shared" si="71"/>
        <v/>
      </c>
      <c r="N88" s="762" t="str">
        <f t="shared" si="71"/>
        <v/>
      </c>
      <c r="O88" s="762" t="str">
        <f t="shared" ref="O88:AD88" si="72">IF(O18="","",2)</f>
        <v/>
      </c>
      <c r="P88" s="762" t="str">
        <f t="shared" si="72"/>
        <v/>
      </c>
      <c r="Q88" s="762" t="str">
        <f t="shared" si="72"/>
        <v/>
      </c>
      <c r="R88" s="762" t="str">
        <f t="shared" si="72"/>
        <v/>
      </c>
      <c r="S88" s="762" t="str">
        <f t="shared" si="72"/>
        <v/>
      </c>
      <c r="T88" s="762" t="str">
        <f t="shared" si="72"/>
        <v/>
      </c>
      <c r="U88" s="762" t="str">
        <f t="shared" si="72"/>
        <v/>
      </c>
      <c r="V88" s="762" t="str">
        <f t="shared" si="72"/>
        <v/>
      </c>
      <c r="W88" s="762" t="str">
        <f t="shared" si="72"/>
        <v/>
      </c>
      <c r="X88" s="762" t="str">
        <f t="shared" si="72"/>
        <v/>
      </c>
      <c r="Y88" s="762" t="str">
        <f t="shared" si="72"/>
        <v/>
      </c>
      <c r="Z88" s="762" t="str">
        <f t="shared" si="72"/>
        <v/>
      </c>
      <c r="AA88" s="762" t="str">
        <f t="shared" si="72"/>
        <v/>
      </c>
      <c r="AB88" s="762" t="str">
        <f t="shared" si="72"/>
        <v/>
      </c>
      <c r="AC88" s="762" t="str">
        <f t="shared" si="72"/>
        <v/>
      </c>
      <c r="AD88" s="762" t="str">
        <f t="shared" si="72"/>
        <v/>
      </c>
    </row>
    <row r="89" spans="1:30">
      <c r="A89" s="739"/>
      <c r="B89" s="863"/>
      <c r="C89" s="695" t="s">
        <v>90</v>
      </c>
      <c r="D89" s="763"/>
      <c r="E89" s="764">
        <f>IFERROR(IF(E18="","",VLOOKUP(E26,'Apoio - Regime de Trabalho'!$A:$G,7,FALSE)),"")</f>
        <v>15</v>
      </c>
      <c r="F89" s="764">
        <f>IFERROR(IF(F18="","",VLOOKUP(F26,'Apoio - Regime de Trabalho'!$A:$G,7,FALSE)),"")</f>
        <v>15</v>
      </c>
      <c r="G89" s="764" t="str">
        <f>IFERROR(IF(G18="","",VLOOKUP(G26,'Apoio - Regime de Trabalho'!$A:$G,7,FALSE)),"")</f>
        <v/>
      </c>
      <c r="H89" s="764" t="str">
        <f>IFERROR(IF(H18="","",VLOOKUP(H26,'Apoio - Regime de Trabalho'!$A:$G,7,FALSE)),"")</f>
        <v/>
      </c>
      <c r="I89" s="764" t="str">
        <f>IFERROR(IF(I18="","",VLOOKUP(I26,'Apoio - Regime de Trabalho'!$A:$G,7,FALSE)),"")</f>
        <v/>
      </c>
      <c r="J89" s="764" t="str">
        <f>IFERROR(IF(J18="","",VLOOKUP(J26,'Apoio - Regime de Trabalho'!$A:$G,7,FALSE)),"")</f>
        <v/>
      </c>
      <c r="K89" s="764" t="str">
        <f>IFERROR(IF(K18="","",VLOOKUP(K26,'Apoio - Regime de Trabalho'!$A:$G,7,FALSE)),"")</f>
        <v/>
      </c>
      <c r="L89" s="764" t="str">
        <f>IFERROR(IF(L18="","",VLOOKUP(L26,'Apoio - Regime de Trabalho'!$A:$G,7,FALSE)),"")</f>
        <v/>
      </c>
      <c r="M89" s="764" t="str">
        <f>IFERROR(IF(M18="","",VLOOKUP(M26,'Apoio - Regime de Trabalho'!$A:$G,7,FALSE)),"")</f>
        <v/>
      </c>
      <c r="N89" s="764" t="str">
        <f>IFERROR(IF(N18="","",VLOOKUP(N26,'Apoio - Regime de Trabalho'!$A:$G,7,FALSE)),"")</f>
        <v/>
      </c>
      <c r="O89" s="764" t="str">
        <f>IFERROR(IF(O18="","",VLOOKUP(O26,'Apoio - Regime de Trabalho'!$A:$G,7,FALSE)),"")</f>
        <v/>
      </c>
      <c r="P89" s="764" t="str">
        <f>IFERROR(IF(P18="","",VLOOKUP(P26,'Apoio - Regime de Trabalho'!$A:$G,7,FALSE)),"")</f>
        <v/>
      </c>
      <c r="Q89" s="764" t="str">
        <f>IFERROR(IF(Q18="","",VLOOKUP(Q26,'Apoio - Regime de Trabalho'!$A:$G,7,FALSE)),"")</f>
        <v/>
      </c>
      <c r="R89" s="764" t="str">
        <f>IFERROR(IF(R18="","",VLOOKUP(R26,'Apoio - Regime de Trabalho'!$A:$G,7,FALSE)),"")</f>
        <v/>
      </c>
      <c r="S89" s="764" t="str">
        <f>IFERROR(IF(S18="","",VLOOKUP(S26,'Apoio - Regime de Trabalho'!$A:$G,7,FALSE)),"")</f>
        <v/>
      </c>
      <c r="T89" s="764" t="str">
        <f>IFERROR(IF(T18="","",VLOOKUP(T26,'Apoio - Regime de Trabalho'!$A:$G,7,FALSE)),"")</f>
        <v/>
      </c>
      <c r="U89" s="764" t="str">
        <f>IFERROR(IF(U18="","",VLOOKUP(U26,'Apoio - Regime de Trabalho'!$A:$G,7,FALSE)),"")</f>
        <v/>
      </c>
      <c r="V89" s="764" t="str">
        <f>IFERROR(IF(V18="","",VLOOKUP(V26,'Apoio - Regime de Trabalho'!$A:$G,7,FALSE)),"")</f>
        <v/>
      </c>
      <c r="W89" s="764" t="str">
        <f>IFERROR(IF(W18="","",VLOOKUP(W26,'Apoio - Regime de Trabalho'!$A:$G,7,FALSE)),"")</f>
        <v/>
      </c>
      <c r="X89" s="764" t="str">
        <f>IFERROR(IF(X18="","",VLOOKUP(X26,'Apoio - Regime de Trabalho'!$A:$G,7,FALSE)),"")</f>
        <v/>
      </c>
      <c r="Y89" s="764" t="str">
        <f>IFERROR(IF(Y18="","",VLOOKUP(Y26,'Apoio - Regime de Trabalho'!$A:$G,7,FALSE)),"")</f>
        <v/>
      </c>
      <c r="Z89" s="764" t="str">
        <f>IFERROR(IF(Z18="","",VLOOKUP(Z26,'Apoio - Regime de Trabalho'!$A:$G,7,FALSE)),"")</f>
        <v/>
      </c>
      <c r="AA89" s="764" t="str">
        <f>IFERROR(IF(AA18="","",VLOOKUP(AA26,'Apoio - Regime de Trabalho'!$A:$G,7,FALSE)),"")</f>
        <v/>
      </c>
      <c r="AB89" s="764" t="str">
        <f>IFERROR(IF(AB18="","",VLOOKUP(AB26,'Apoio - Regime de Trabalho'!$A:$G,7,FALSE)),"")</f>
        <v/>
      </c>
      <c r="AC89" s="764" t="str">
        <f>IFERROR(IF(AC18="","",VLOOKUP(AC26,'Apoio - Regime de Trabalho'!$A:$G,7,FALSE)),"")</f>
        <v/>
      </c>
      <c r="AD89" s="764" t="str">
        <f>IFERROR(IF(AD18="","",VLOOKUP(AD26,'Apoio - Regime de Trabalho'!$A:$G,7,FALSE)),"")</f>
        <v/>
      </c>
    </row>
    <row r="90" spans="1:30">
      <c r="A90" s="739"/>
      <c r="B90" s="863"/>
      <c r="C90" s="695" t="s">
        <v>22</v>
      </c>
      <c r="D90" s="761"/>
      <c r="E90" s="765">
        <f>IF(E18="","",IFERROR(VLOOKUP(E$18,'Apoio - Posto'!$A:$AA,16,FALSE),6%))</f>
        <v>0.06</v>
      </c>
      <c r="F90" s="765">
        <f>IF(F18="","",IFERROR(VLOOKUP(F$18,'Apoio - Posto'!$A:$AA,16,FALSE),6%))</f>
        <v>0.06</v>
      </c>
      <c r="G90" s="765" t="str">
        <f>IF(G18="","",IFERROR(VLOOKUP(G$18,'Apoio - Posto'!$A:$AA,16,FALSE),6%))</f>
        <v/>
      </c>
      <c r="H90" s="765" t="str">
        <f>IF(H18="","",IFERROR(VLOOKUP(H$18,'Apoio - Posto'!$A:$AA,16,FALSE),6%))</f>
        <v/>
      </c>
      <c r="I90" s="765" t="str">
        <f>IF(I18="","",IFERROR(VLOOKUP(I$18,'Apoio - Posto'!$A:$AA,16,FALSE),6%))</f>
        <v/>
      </c>
      <c r="J90" s="765" t="str">
        <f>IF(J18="","",IFERROR(VLOOKUP(J$18,'Apoio - Posto'!$A:$AA,16,FALSE),6%))</f>
        <v/>
      </c>
      <c r="K90" s="765" t="str">
        <f>IF(K18="","",IFERROR(VLOOKUP(K$18,'Apoio - Posto'!$A:$AA,16,FALSE),6%))</f>
        <v/>
      </c>
      <c r="L90" s="765" t="str">
        <f>IF(L18="","",IFERROR(VLOOKUP(L$18,'Apoio - Posto'!$A:$AA,16,FALSE),6%))</f>
        <v/>
      </c>
      <c r="M90" s="765" t="str">
        <f>IF(M18="","",IFERROR(VLOOKUP(M$18,'Apoio - Posto'!$A:$AA,16,FALSE),6%))</f>
        <v/>
      </c>
      <c r="N90" s="765" t="str">
        <f>IF(N18="","",IFERROR(VLOOKUP(N$18,'Apoio - Posto'!$A:$AA,16,FALSE),6%))</f>
        <v/>
      </c>
      <c r="O90" s="765" t="str">
        <f>IF(O18="","",IFERROR(VLOOKUP(O$18,'Apoio - Posto'!$A:$AA,16,FALSE),6%))</f>
        <v/>
      </c>
      <c r="P90" s="765" t="str">
        <f>IF(P18="","",IFERROR(VLOOKUP(P$18,'Apoio - Posto'!$A:$AA,16,FALSE),6%))</f>
        <v/>
      </c>
      <c r="Q90" s="765" t="str">
        <f>IF(Q18="","",IFERROR(VLOOKUP(Q$18,'Apoio - Posto'!$A:$AA,16,FALSE),6%))</f>
        <v/>
      </c>
      <c r="R90" s="765" t="str">
        <f>IF(R18="","",IFERROR(VLOOKUP(R$18,'Apoio - Posto'!$A:$AA,16,FALSE),6%))</f>
        <v/>
      </c>
      <c r="S90" s="765" t="str">
        <f>IF(S18="","",IFERROR(VLOOKUP(S$18,'Apoio - Posto'!$A:$AA,16,FALSE),6%))</f>
        <v/>
      </c>
      <c r="T90" s="765" t="str">
        <f>IF(T18="","",IFERROR(VLOOKUP(T$18,'Apoio - Posto'!$A:$AA,16,FALSE),6%))</f>
        <v/>
      </c>
      <c r="U90" s="765" t="str">
        <f>IF(U18="","",IFERROR(VLOOKUP(U$18,'Apoio - Posto'!$A:$AA,16,FALSE),6%))</f>
        <v/>
      </c>
      <c r="V90" s="765" t="str">
        <f>IF(V18="","",IFERROR(VLOOKUP(V$18,'Apoio - Posto'!$A:$AA,16,FALSE),6%))</f>
        <v/>
      </c>
      <c r="W90" s="765" t="str">
        <f>IF(W18="","",IFERROR(VLOOKUP(W$18,'Apoio - Posto'!$A:$AA,16,FALSE),6%))</f>
        <v/>
      </c>
      <c r="X90" s="765" t="str">
        <f>IF(X18="","",IFERROR(VLOOKUP(X$18,'Apoio - Posto'!$A:$AA,16,FALSE),6%))</f>
        <v/>
      </c>
      <c r="Y90" s="765" t="str">
        <f>IF(Y18="","",IFERROR(VLOOKUP(Y$18,'Apoio - Posto'!$A:$AA,16,FALSE),6%))</f>
        <v/>
      </c>
      <c r="Z90" s="765" t="str">
        <f>IF(Z18="","",IFERROR(VLOOKUP(Z$18,'Apoio - Posto'!$A:$AA,16,FALSE),6%))</f>
        <v/>
      </c>
      <c r="AA90" s="765" t="str">
        <f>IF(AA18="","",IFERROR(VLOOKUP(AA$18,'Apoio - Posto'!$A:$AA,16,FALSE),6%))</f>
        <v/>
      </c>
      <c r="AB90" s="765" t="str">
        <f>IF(AB18="","",IFERROR(VLOOKUP(AB$18,'Apoio - Posto'!$A:$AA,16,FALSE),6%))</f>
        <v/>
      </c>
      <c r="AC90" s="765" t="str">
        <f>IF(AC18="","",IFERROR(VLOOKUP(AC$18,'Apoio - Posto'!$A:$AA,16,FALSE),6%))</f>
        <v/>
      </c>
      <c r="AD90" s="765" t="str">
        <f>IF(AD18="","",IFERROR(VLOOKUP(AD$18,'Apoio - Posto'!$A:$AA,16,FALSE),6%))</f>
        <v/>
      </c>
    </row>
    <row r="91" spans="1:30">
      <c r="A91" s="739"/>
      <c r="B91" s="864"/>
      <c r="C91" s="218"/>
      <c r="D91" s="766" t="s">
        <v>43</v>
      </c>
      <c r="E91" s="710">
        <v>0</v>
      </c>
      <c r="F91" s="710">
        <v>0</v>
      </c>
      <c r="G91" s="710" t="str">
        <f t="shared" ref="G91:H91" si="73">IFERROR((G87*G88*G89)-(G$90*G$32),"")</f>
        <v/>
      </c>
      <c r="H91" s="710" t="str">
        <f t="shared" si="73"/>
        <v/>
      </c>
      <c r="I91" s="710" t="str">
        <f t="shared" ref="I91:N91" si="74">IFERROR((I87*I88*I89)-(I$90*I$32),"")</f>
        <v/>
      </c>
      <c r="J91" s="710" t="str">
        <f t="shared" si="74"/>
        <v/>
      </c>
      <c r="K91" s="710" t="str">
        <f t="shared" si="74"/>
        <v/>
      </c>
      <c r="L91" s="710" t="str">
        <f t="shared" si="74"/>
        <v/>
      </c>
      <c r="M91" s="710" t="str">
        <f t="shared" si="74"/>
        <v/>
      </c>
      <c r="N91" s="710" t="str">
        <f t="shared" si="74"/>
        <v/>
      </c>
      <c r="O91" s="710" t="str">
        <f t="shared" ref="O91:AD91" si="75">IFERROR((O87*O88*O89)-(O$90*O$32),"")</f>
        <v/>
      </c>
      <c r="P91" s="710" t="str">
        <f t="shared" si="75"/>
        <v/>
      </c>
      <c r="Q91" s="710" t="str">
        <f t="shared" si="75"/>
        <v/>
      </c>
      <c r="R91" s="710" t="str">
        <f t="shared" si="75"/>
        <v/>
      </c>
      <c r="S91" s="710" t="str">
        <f t="shared" si="75"/>
        <v/>
      </c>
      <c r="T91" s="710" t="str">
        <f t="shared" si="75"/>
        <v/>
      </c>
      <c r="U91" s="710" t="str">
        <f t="shared" si="75"/>
        <v/>
      </c>
      <c r="V91" s="710" t="str">
        <f t="shared" si="75"/>
        <v/>
      </c>
      <c r="W91" s="710" t="str">
        <f t="shared" si="75"/>
        <v/>
      </c>
      <c r="X91" s="710" t="str">
        <f t="shared" si="75"/>
        <v/>
      </c>
      <c r="Y91" s="710" t="str">
        <f t="shared" si="75"/>
        <v/>
      </c>
      <c r="Z91" s="710" t="str">
        <f t="shared" si="75"/>
        <v/>
      </c>
      <c r="AA91" s="710" t="str">
        <f t="shared" si="75"/>
        <v/>
      </c>
      <c r="AB91" s="710" t="str">
        <f t="shared" si="75"/>
        <v/>
      </c>
      <c r="AC91" s="710" t="str">
        <f t="shared" si="75"/>
        <v/>
      </c>
      <c r="AD91" s="710" t="str">
        <f t="shared" si="75"/>
        <v/>
      </c>
    </row>
    <row r="92" spans="1:30">
      <c r="A92" s="739"/>
      <c r="B92" s="862" t="s">
        <v>1</v>
      </c>
      <c r="C92" s="767" t="s">
        <v>23</v>
      </c>
      <c r="D92" s="768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</row>
    <row r="93" spans="1:30">
      <c r="A93" s="739"/>
      <c r="B93" s="863"/>
      <c r="C93" s="769" t="s">
        <v>24</v>
      </c>
      <c r="D93" s="770"/>
      <c r="E93" s="771">
        <v>27.8</v>
      </c>
      <c r="F93" s="771">
        <v>27.8</v>
      </c>
      <c r="G93" s="771" t="str">
        <f>IFERROR(VLOOKUP(G$18,'Apoio - Posto'!$A:$AA,IF(VLOOKUP(G26,'Apoio - Regime de Trabalho'!$A:$I,8,FALSE)&gt;=200,9,10),FALSE),"")</f>
        <v/>
      </c>
      <c r="H93" s="771" t="str">
        <f>IFERROR(VLOOKUP(H$18,'Apoio - Posto'!$A:$AA,IF(VLOOKUP(H26,'Apoio - Regime de Trabalho'!$A:$I,8,FALSE)&gt;=200,9,10),FALSE),"")</f>
        <v/>
      </c>
      <c r="I93" s="771" t="str">
        <f>IFERROR(VLOOKUP(I$18,'Apoio - Posto'!$A:$AA,IF(VLOOKUP(I26,'Apoio - Regime de Trabalho'!$A:$I,8,FALSE)&gt;=200,9,10),FALSE),"")</f>
        <v/>
      </c>
      <c r="J93" s="771" t="str">
        <f>IFERROR(VLOOKUP(J$18,'Apoio - Posto'!$A:$AA,IF(VLOOKUP(J26,'Apoio - Regime de Trabalho'!$A:$I,8,FALSE)&gt;=200,9,10),FALSE),"")</f>
        <v/>
      </c>
      <c r="K93" s="771" t="str">
        <f>IFERROR(VLOOKUP(K$18,'Apoio - Posto'!$A:$AA,IF(VLOOKUP(K26,'Apoio - Regime de Trabalho'!$A:$I,8,FALSE)&gt;=200,9,10),FALSE),"")</f>
        <v/>
      </c>
      <c r="L93" s="771" t="str">
        <f>IFERROR(VLOOKUP(L$18,'Apoio - Posto'!$A:$AA,IF(VLOOKUP(L26,'Apoio - Regime de Trabalho'!$A:$I,8,FALSE)&gt;=200,9,10),FALSE),"")</f>
        <v/>
      </c>
      <c r="M93" s="771" t="str">
        <f>IFERROR(VLOOKUP(M$18,'Apoio - Posto'!$A:$AA,IF(VLOOKUP(M26,'Apoio - Regime de Trabalho'!$A:$I,8,FALSE)&gt;=200,9,10),FALSE),"")</f>
        <v/>
      </c>
      <c r="N93" s="771" t="str">
        <f>IFERROR(VLOOKUP(N$18,'Apoio - Posto'!$A:$AA,IF(VLOOKUP(N26,'Apoio - Regime de Trabalho'!$A:$I,8,FALSE)&gt;=200,9,10),FALSE),"")</f>
        <v/>
      </c>
      <c r="O93" s="771" t="str">
        <f>IFERROR(VLOOKUP(O$18,'Apoio - Posto'!$A:$AA,IF(VLOOKUP(O26,'Apoio - Regime de Trabalho'!$A:$I,8,FALSE)&gt;=200,9,10),FALSE),"")</f>
        <v/>
      </c>
      <c r="P93" s="771" t="str">
        <f>IFERROR(VLOOKUP(P$18,'Apoio - Posto'!$A:$AA,IF(VLOOKUP(P26,'Apoio - Regime de Trabalho'!$A:$I,8,FALSE)&gt;=200,9,10),FALSE),"")</f>
        <v/>
      </c>
      <c r="Q93" s="771" t="str">
        <f>IFERROR(VLOOKUP(Q$18,'Apoio - Posto'!$A:$AA,IF(VLOOKUP(Q26,'Apoio - Regime de Trabalho'!$A:$I,8,FALSE)&gt;=200,9,10),FALSE),"")</f>
        <v/>
      </c>
      <c r="R93" s="771" t="str">
        <f>IFERROR(VLOOKUP(R$18,'Apoio - Posto'!$A:$AA,IF(VLOOKUP(R26,'Apoio - Regime de Trabalho'!$A:$I,8,FALSE)&gt;=200,9,10),FALSE),"")</f>
        <v/>
      </c>
      <c r="S93" s="771" t="str">
        <f>IFERROR(VLOOKUP(S$18,'Apoio - Posto'!$A:$AA,IF(VLOOKUP(S26,'Apoio - Regime de Trabalho'!$A:$I,8,FALSE)&gt;=200,9,10),FALSE),"")</f>
        <v/>
      </c>
      <c r="T93" s="771" t="str">
        <f>IFERROR(VLOOKUP(T$18,'Apoio - Posto'!$A:$AA,IF(VLOOKUP(T26,'Apoio - Regime de Trabalho'!$A:$I,8,FALSE)&gt;=200,9,10),FALSE),"")</f>
        <v/>
      </c>
      <c r="U93" s="771" t="str">
        <f>IFERROR(VLOOKUP(U$18,'Apoio - Posto'!$A:$AA,IF(VLOOKUP(U26,'Apoio - Regime de Trabalho'!$A:$I,8,FALSE)&gt;=200,9,10),FALSE),"")</f>
        <v/>
      </c>
      <c r="V93" s="771" t="str">
        <f>IFERROR(VLOOKUP(V$18,'Apoio - Posto'!$A:$AA,IF(VLOOKUP(V26,'Apoio - Regime de Trabalho'!$A:$I,8,FALSE)&gt;=200,9,10),FALSE),"")</f>
        <v/>
      </c>
      <c r="W93" s="771" t="str">
        <f>IFERROR(VLOOKUP(W$18,'Apoio - Posto'!$A:$AA,IF(VLOOKUP(W26,'Apoio - Regime de Trabalho'!$A:$I,8,FALSE)&gt;=200,9,10),FALSE),"")</f>
        <v/>
      </c>
      <c r="X93" s="771" t="str">
        <f>IFERROR(VLOOKUP(X$18,'Apoio - Posto'!$A:$AA,IF(VLOOKUP(X26,'Apoio - Regime de Trabalho'!$A:$I,8,FALSE)&gt;=200,9,10),FALSE),"")</f>
        <v/>
      </c>
      <c r="Y93" s="771" t="str">
        <f>IFERROR(VLOOKUP(Y$18,'Apoio - Posto'!$A:$AA,IF(VLOOKUP(Y26,'Apoio - Regime de Trabalho'!$A:$I,8,FALSE)&gt;=200,9,10),FALSE),"")</f>
        <v/>
      </c>
      <c r="Z93" s="771" t="str">
        <f>IFERROR(VLOOKUP(Z$18,'Apoio - Posto'!$A:$AA,IF(VLOOKUP(Z26,'Apoio - Regime de Trabalho'!$A:$I,8,FALSE)&gt;=200,9,10),FALSE),"")</f>
        <v/>
      </c>
      <c r="AA93" s="771" t="str">
        <f>IFERROR(VLOOKUP(AA$18,'Apoio - Posto'!$A:$AA,IF(VLOOKUP(AA26,'Apoio - Regime de Trabalho'!$A:$I,8,FALSE)&gt;=200,9,10),FALSE),"")</f>
        <v/>
      </c>
      <c r="AB93" s="771" t="str">
        <f>IFERROR(VLOOKUP(AB$18,'Apoio - Posto'!$A:$AA,IF(VLOOKUP(AB26,'Apoio - Regime de Trabalho'!$A:$I,8,FALSE)&gt;=200,9,10),FALSE),"")</f>
        <v/>
      </c>
      <c r="AC93" s="771" t="str">
        <f>IFERROR(VLOOKUP(AC$18,'Apoio - Posto'!$A:$AA,IF(VLOOKUP(AC26,'Apoio - Regime de Trabalho'!$A:$I,8,FALSE)&gt;=200,9,10),FALSE),"")</f>
        <v/>
      </c>
      <c r="AD93" s="771" t="str">
        <f>IFERROR(VLOOKUP(AD$18,'Apoio - Posto'!$A:$AA,IF(VLOOKUP(AD26,'Apoio - Regime de Trabalho'!$A:$I,8,FALSE)&gt;=200,9,10),FALSE),"")</f>
        <v/>
      </c>
    </row>
    <row r="94" spans="1:30">
      <c r="A94" s="739"/>
      <c r="B94" s="863"/>
      <c r="C94" s="722" t="s">
        <v>361</v>
      </c>
      <c r="D94" s="772"/>
      <c r="E94" s="773">
        <f>IFERROR(IF(E18="","",VLOOKUP(E26,'Apoio - Regime de Trabalho'!$A:$G,7,FALSE)),"")</f>
        <v>15</v>
      </c>
      <c r="F94" s="773">
        <f>IFERROR(IF(F18="","",VLOOKUP(F26,'Apoio - Regime de Trabalho'!$A:$G,7,FALSE)),"")</f>
        <v>15</v>
      </c>
      <c r="G94" s="773" t="str">
        <f>IFERROR(IF(G18="","",VLOOKUP(G26,'Apoio - Regime de Trabalho'!$A:$G,7,FALSE)),"")</f>
        <v/>
      </c>
      <c r="H94" s="773" t="str">
        <f>IFERROR(IF(H18="","",VLOOKUP(H26,'Apoio - Regime de Trabalho'!$A:$G,7,FALSE)),"")</f>
        <v/>
      </c>
      <c r="I94" s="773" t="str">
        <f>IFERROR(IF(I18="","",VLOOKUP(I26,'Apoio - Regime de Trabalho'!$A:$G,7,FALSE)),"")</f>
        <v/>
      </c>
      <c r="J94" s="773" t="str">
        <f>IFERROR(IF(J18="","",VLOOKUP(J26,'Apoio - Regime de Trabalho'!$A:$G,7,FALSE)),"")</f>
        <v/>
      </c>
      <c r="K94" s="773" t="str">
        <f>IFERROR(IF(K18="","",VLOOKUP(K26,'Apoio - Regime de Trabalho'!$A:$G,7,FALSE)),"")</f>
        <v/>
      </c>
      <c r="L94" s="773" t="str">
        <f>IFERROR(IF(L18="","",VLOOKUP(L26,'Apoio - Regime de Trabalho'!$A:$G,7,FALSE)),"")</f>
        <v/>
      </c>
      <c r="M94" s="773" t="str">
        <f>IFERROR(IF(M18="","",VLOOKUP(M26,'Apoio - Regime de Trabalho'!$A:$G,7,FALSE)),"")</f>
        <v/>
      </c>
      <c r="N94" s="773" t="str">
        <f>IFERROR(IF(N18="","",VLOOKUP(N26,'Apoio - Regime de Trabalho'!$A:$G,7,FALSE)),"")</f>
        <v/>
      </c>
      <c r="O94" s="773" t="str">
        <f>IFERROR(IF(O18="","",VLOOKUP(O26,'Apoio - Regime de Trabalho'!$A:$G,7,FALSE)),"")</f>
        <v/>
      </c>
      <c r="P94" s="773" t="str">
        <f>IFERROR(IF(P18="","",VLOOKUP(P26,'Apoio - Regime de Trabalho'!$A:$G,7,FALSE)),"")</f>
        <v/>
      </c>
      <c r="Q94" s="773" t="str">
        <f>IFERROR(IF(Q18="","",VLOOKUP(Q26,'Apoio - Regime de Trabalho'!$A:$G,7,FALSE)),"")</f>
        <v/>
      </c>
      <c r="R94" s="773" t="str">
        <f>IFERROR(IF(R18="","",VLOOKUP(R26,'Apoio - Regime de Trabalho'!$A:$G,7,FALSE)),"")</f>
        <v/>
      </c>
      <c r="S94" s="773" t="str">
        <f>IFERROR(IF(S18="","",VLOOKUP(S26,'Apoio - Regime de Trabalho'!$A:$G,7,FALSE)),"")</f>
        <v/>
      </c>
      <c r="T94" s="773" t="str">
        <f>IFERROR(IF(T18="","",VLOOKUP(T26,'Apoio - Regime de Trabalho'!$A:$G,7,FALSE)),"")</f>
        <v/>
      </c>
      <c r="U94" s="773" t="str">
        <f>IFERROR(IF(U18="","",VLOOKUP(U26,'Apoio - Regime de Trabalho'!$A:$G,7,FALSE)),"")</f>
        <v/>
      </c>
      <c r="V94" s="773" t="str">
        <f>IFERROR(IF(V18="","",VLOOKUP(V26,'Apoio - Regime de Trabalho'!$A:$G,7,FALSE)),"")</f>
        <v/>
      </c>
      <c r="W94" s="773" t="str">
        <f>IFERROR(IF(W18="","",VLOOKUP(W26,'Apoio - Regime de Trabalho'!$A:$G,7,FALSE)),"")</f>
        <v/>
      </c>
      <c r="X94" s="773" t="str">
        <f>IFERROR(IF(X18="","",VLOOKUP(X26,'Apoio - Regime de Trabalho'!$A:$G,7,FALSE)),"")</f>
        <v/>
      </c>
      <c r="Y94" s="773" t="str">
        <f>IFERROR(IF(Y18="","",VLOOKUP(Y26,'Apoio - Regime de Trabalho'!$A:$G,7,FALSE)),"")</f>
        <v/>
      </c>
      <c r="Z94" s="773" t="str">
        <f>IFERROR(IF(Z18="","",VLOOKUP(Z26,'Apoio - Regime de Trabalho'!$A:$G,7,FALSE)),"")</f>
        <v/>
      </c>
      <c r="AA94" s="773" t="str">
        <f>IFERROR(IF(AA18="","",VLOOKUP(AA26,'Apoio - Regime de Trabalho'!$A:$G,7,FALSE)),"")</f>
        <v/>
      </c>
      <c r="AB94" s="773" t="str">
        <f>IFERROR(IF(AB18="","",VLOOKUP(AB26,'Apoio - Regime de Trabalho'!$A:$G,7,FALSE)),"")</f>
        <v/>
      </c>
      <c r="AC94" s="773" t="str">
        <f>IFERROR(IF(AC18="","",VLOOKUP(AC26,'Apoio - Regime de Trabalho'!$A:$G,7,FALSE)),"")</f>
        <v/>
      </c>
      <c r="AD94" s="773" t="str">
        <f>IFERROR(IF(AD18="","",VLOOKUP(AD26,'Apoio - Regime de Trabalho'!$A:$G,7,FALSE)),"")</f>
        <v/>
      </c>
    </row>
    <row r="95" spans="1:30">
      <c r="A95" s="739"/>
      <c r="B95" s="863"/>
      <c r="C95" s="722" t="s">
        <v>357</v>
      </c>
      <c r="D95" s="772"/>
      <c r="E95" s="774">
        <v>0.19</v>
      </c>
      <c r="F95" s="774">
        <v>0.19</v>
      </c>
      <c r="G95" s="774" t="str">
        <f>IFERROR(VLOOKUP(G$18,'Apoio - Posto'!$A:$AA,17,FALSE),"")</f>
        <v/>
      </c>
      <c r="H95" s="774" t="str">
        <f>IFERROR(VLOOKUP(H$18,'Apoio - Posto'!$A:$AA,17,FALSE),"")</f>
        <v/>
      </c>
      <c r="I95" s="774" t="str">
        <f>IFERROR(VLOOKUP(I$18,'Apoio - Posto'!$A:$AA,17,FALSE),"")</f>
        <v/>
      </c>
      <c r="J95" s="774" t="str">
        <f>IFERROR(VLOOKUP(J$18,'Apoio - Posto'!$A:$AA,17,FALSE),"")</f>
        <v/>
      </c>
      <c r="K95" s="774" t="str">
        <f>IFERROR(VLOOKUP(K$18,'Apoio - Posto'!$A:$AA,17,FALSE),"")</f>
        <v/>
      </c>
      <c r="L95" s="774" t="str">
        <f>IFERROR(VLOOKUP(L$18,'Apoio - Posto'!$A:$AA,17,FALSE),"")</f>
        <v/>
      </c>
      <c r="M95" s="774" t="str">
        <f>IFERROR(VLOOKUP(M$18,'Apoio - Posto'!$A:$AA,17,FALSE),"")</f>
        <v/>
      </c>
      <c r="N95" s="774" t="str">
        <f>IFERROR(VLOOKUP(N$18,'Apoio - Posto'!$A:$AA,17,FALSE),"")</f>
        <v/>
      </c>
      <c r="O95" s="774" t="str">
        <f>IFERROR(VLOOKUP(O$18,'Apoio - Posto'!$A:$AA,17,FALSE),"")</f>
        <v/>
      </c>
      <c r="P95" s="774" t="str">
        <f>IFERROR(VLOOKUP(P$18,'Apoio - Posto'!$A:$AA,17,FALSE),"")</f>
        <v/>
      </c>
      <c r="Q95" s="774" t="str">
        <f>IFERROR(VLOOKUP(Q$18,'Apoio - Posto'!$A:$AA,17,FALSE),"")</f>
        <v/>
      </c>
      <c r="R95" s="774" t="str">
        <f>IFERROR(VLOOKUP(R$18,'Apoio - Posto'!$A:$AA,17,FALSE),"")</f>
        <v/>
      </c>
      <c r="S95" s="774" t="str">
        <f>IFERROR(VLOOKUP(S$18,'Apoio - Posto'!$A:$AA,17,FALSE),"")</f>
        <v/>
      </c>
      <c r="T95" s="774" t="str">
        <f>IFERROR(VLOOKUP(T$18,'Apoio - Posto'!$A:$AA,17,FALSE),"")</f>
        <v/>
      </c>
      <c r="U95" s="774" t="str">
        <f>IFERROR(VLOOKUP(U$18,'Apoio - Posto'!$A:$AA,17,FALSE),"")</f>
        <v/>
      </c>
      <c r="V95" s="774" t="str">
        <f>IFERROR(VLOOKUP(V$18,'Apoio - Posto'!$A:$AA,17,FALSE),"")</f>
        <v/>
      </c>
      <c r="W95" s="774" t="str">
        <f>IFERROR(VLOOKUP(W$18,'Apoio - Posto'!$A:$AA,17,FALSE),"")</f>
        <v/>
      </c>
      <c r="X95" s="774" t="str">
        <f>IFERROR(VLOOKUP(X$18,'Apoio - Posto'!$A:$AA,17,FALSE),"")</f>
        <v/>
      </c>
      <c r="Y95" s="774" t="str">
        <f>IFERROR(VLOOKUP(Y$18,'Apoio - Posto'!$A:$AA,17,FALSE),"")</f>
        <v/>
      </c>
      <c r="Z95" s="774" t="str">
        <f>IFERROR(VLOOKUP(Z$18,'Apoio - Posto'!$A:$AA,17,FALSE),"")</f>
        <v/>
      </c>
      <c r="AA95" s="774" t="str">
        <f>IFERROR(VLOOKUP(AA$18,'Apoio - Posto'!$A:$AA,17,FALSE),"")</f>
        <v/>
      </c>
      <c r="AB95" s="774" t="str">
        <f>IFERROR(VLOOKUP(AB$18,'Apoio - Posto'!$A:$AA,17,FALSE),"")</f>
        <v/>
      </c>
      <c r="AC95" s="774" t="str">
        <f>IFERROR(VLOOKUP(AC$18,'Apoio - Posto'!$A:$AA,17,FALSE),"")</f>
        <v/>
      </c>
      <c r="AD95" s="774" t="str">
        <f>IFERROR(VLOOKUP(AD$18,'Apoio - Posto'!$A:$AA,17,FALSE),"")</f>
        <v/>
      </c>
    </row>
    <row r="96" spans="1:30">
      <c r="A96" s="739"/>
      <c r="B96" s="864"/>
      <c r="C96" s="218"/>
      <c r="D96" s="766" t="s">
        <v>43</v>
      </c>
      <c r="E96" s="204">
        <f>IFERROR((E93*E94)-(E$93*E$94*E$95),"")</f>
        <v>337.77</v>
      </c>
      <c r="F96" s="204">
        <f t="shared" ref="F96:H96" si="76">IFERROR((F93*F94)-(F$93*F$94*F$95),"")</f>
        <v>337.77</v>
      </c>
      <c r="G96" s="204" t="str">
        <f t="shared" si="76"/>
        <v/>
      </c>
      <c r="H96" s="204" t="str">
        <f t="shared" si="76"/>
        <v/>
      </c>
      <c r="I96" s="204" t="str">
        <f t="shared" ref="I96:N96" si="77">IFERROR((I93*I94)-(I$93*I$94*I$95),"")</f>
        <v/>
      </c>
      <c r="J96" s="204" t="str">
        <f t="shared" si="77"/>
        <v/>
      </c>
      <c r="K96" s="204" t="str">
        <f t="shared" si="77"/>
        <v/>
      </c>
      <c r="L96" s="204" t="str">
        <f t="shared" si="77"/>
        <v/>
      </c>
      <c r="M96" s="204" t="str">
        <f t="shared" si="77"/>
        <v/>
      </c>
      <c r="N96" s="204" t="str">
        <f t="shared" si="77"/>
        <v/>
      </c>
      <c r="O96" s="204" t="str">
        <f t="shared" ref="O96:AD96" si="78">IFERROR((O93*O94)-(O$93*O$94*O$95),"")</f>
        <v/>
      </c>
      <c r="P96" s="204" t="str">
        <f t="shared" si="78"/>
        <v/>
      </c>
      <c r="Q96" s="204" t="str">
        <f t="shared" si="78"/>
        <v/>
      </c>
      <c r="R96" s="204" t="str">
        <f t="shared" si="78"/>
        <v/>
      </c>
      <c r="S96" s="204" t="str">
        <f t="shared" si="78"/>
        <v/>
      </c>
      <c r="T96" s="204" t="str">
        <f t="shared" si="78"/>
        <v/>
      </c>
      <c r="U96" s="204" t="str">
        <f t="shared" si="78"/>
        <v/>
      </c>
      <c r="V96" s="204" t="str">
        <f t="shared" si="78"/>
        <v/>
      </c>
      <c r="W96" s="204" t="str">
        <f t="shared" si="78"/>
        <v/>
      </c>
      <c r="X96" s="204" t="str">
        <f t="shared" si="78"/>
        <v/>
      </c>
      <c r="Y96" s="204" t="str">
        <f t="shared" si="78"/>
        <v/>
      </c>
      <c r="Z96" s="204" t="str">
        <f t="shared" si="78"/>
        <v/>
      </c>
      <c r="AA96" s="204" t="str">
        <f t="shared" si="78"/>
        <v/>
      </c>
      <c r="AB96" s="204" t="str">
        <f t="shared" si="78"/>
        <v/>
      </c>
      <c r="AC96" s="204" t="str">
        <f t="shared" si="78"/>
        <v/>
      </c>
      <c r="AD96" s="204" t="str">
        <f t="shared" si="78"/>
        <v/>
      </c>
    </row>
    <row r="97" spans="1:30">
      <c r="A97" s="739"/>
      <c r="B97" s="862" t="s">
        <v>0</v>
      </c>
      <c r="C97" s="716" t="s">
        <v>25</v>
      </c>
      <c r="D97" s="768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</row>
    <row r="98" spans="1:30">
      <c r="A98" s="739"/>
      <c r="B98" s="863"/>
      <c r="C98" s="775" t="s">
        <v>26</v>
      </c>
      <c r="D98" s="776"/>
      <c r="E98" s="777"/>
      <c r="F98" s="777"/>
      <c r="G98" s="777"/>
      <c r="H98" s="777"/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77"/>
      <c r="AA98" s="777"/>
      <c r="AB98" s="777"/>
      <c r="AC98" s="777"/>
      <c r="AD98" s="777"/>
    </row>
    <row r="99" spans="1:30">
      <c r="A99" s="739"/>
      <c r="B99" s="863"/>
      <c r="C99" s="778" t="s">
        <v>357</v>
      </c>
      <c r="D99" s="763"/>
      <c r="E99" s="779"/>
      <c r="F99" s="779"/>
      <c r="G99" s="779"/>
      <c r="H99" s="779"/>
      <c r="I99" s="779"/>
      <c r="J99" s="779"/>
      <c r="K99" s="779"/>
      <c r="L99" s="779"/>
      <c r="M99" s="779"/>
      <c r="N99" s="779"/>
      <c r="O99" s="779"/>
      <c r="P99" s="779"/>
      <c r="Q99" s="779"/>
      <c r="R99" s="779"/>
      <c r="S99" s="779"/>
      <c r="T99" s="779"/>
      <c r="U99" s="779"/>
      <c r="V99" s="779"/>
      <c r="W99" s="779"/>
      <c r="X99" s="779"/>
      <c r="Y99" s="779"/>
      <c r="Z99" s="779"/>
      <c r="AA99" s="779"/>
      <c r="AB99" s="779"/>
      <c r="AC99" s="779"/>
      <c r="AD99" s="779"/>
    </row>
    <row r="100" spans="1:30">
      <c r="A100" s="739"/>
      <c r="B100" s="864"/>
      <c r="C100" s="218"/>
      <c r="D100" s="766" t="s">
        <v>43</v>
      </c>
      <c r="E100" s="780">
        <f>IF(E20="","",IFERROR((E$98)-(E$99*E$98),""))</f>
        <v>0</v>
      </c>
      <c r="F100" s="780">
        <f t="shared" ref="F100:H100" si="79">IF(F20="","",IFERROR((F$98)-(F$99*F$98),""))</f>
        <v>0</v>
      </c>
      <c r="G100" s="780" t="str">
        <f t="shared" si="79"/>
        <v/>
      </c>
      <c r="H100" s="780" t="str">
        <f t="shared" si="79"/>
        <v/>
      </c>
      <c r="I100" s="780" t="str">
        <f t="shared" ref="I100:N100" si="80">IF(I20="","",IFERROR((I$98)-(I$99*I$98),""))</f>
        <v/>
      </c>
      <c r="J100" s="780" t="str">
        <f t="shared" si="80"/>
        <v/>
      </c>
      <c r="K100" s="780" t="str">
        <f t="shared" si="80"/>
        <v/>
      </c>
      <c r="L100" s="780" t="str">
        <f t="shared" si="80"/>
        <v/>
      </c>
      <c r="M100" s="780" t="str">
        <f t="shared" si="80"/>
        <v/>
      </c>
      <c r="N100" s="780" t="str">
        <f t="shared" si="80"/>
        <v/>
      </c>
      <c r="O100" s="780" t="str">
        <f t="shared" ref="O100:AD100" si="81">IF(O20="","",IFERROR((O$98)-(O$99*O$98),""))</f>
        <v/>
      </c>
      <c r="P100" s="780" t="str">
        <f t="shared" si="81"/>
        <v/>
      </c>
      <c r="Q100" s="780" t="str">
        <f t="shared" si="81"/>
        <v/>
      </c>
      <c r="R100" s="780" t="str">
        <f t="shared" si="81"/>
        <v/>
      </c>
      <c r="S100" s="780" t="str">
        <f t="shared" si="81"/>
        <v/>
      </c>
      <c r="T100" s="780" t="str">
        <f t="shared" si="81"/>
        <v/>
      </c>
      <c r="U100" s="780" t="str">
        <f t="shared" si="81"/>
        <v/>
      </c>
      <c r="V100" s="780" t="str">
        <f t="shared" si="81"/>
        <v/>
      </c>
      <c r="W100" s="780" t="str">
        <f t="shared" si="81"/>
        <v/>
      </c>
      <c r="X100" s="780" t="str">
        <f t="shared" si="81"/>
        <v/>
      </c>
      <c r="Y100" s="780" t="str">
        <f t="shared" si="81"/>
        <v/>
      </c>
      <c r="Z100" s="780" t="str">
        <f t="shared" si="81"/>
        <v/>
      </c>
      <c r="AA100" s="780" t="str">
        <f t="shared" si="81"/>
        <v/>
      </c>
      <c r="AB100" s="780" t="str">
        <f t="shared" si="81"/>
        <v/>
      </c>
      <c r="AC100" s="780" t="str">
        <f t="shared" si="81"/>
        <v/>
      </c>
      <c r="AD100" s="780" t="str">
        <f t="shared" si="81"/>
        <v/>
      </c>
    </row>
    <row r="101" spans="1:30">
      <c r="A101" s="739"/>
      <c r="B101" s="595" t="s">
        <v>3</v>
      </c>
      <c r="C101" s="709" t="s">
        <v>27</v>
      </c>
      <c r="D101" s="781"/>
      <c r="E101" s="710" t="str">
        <f>IFERROR(VLOOKUP(E$18,'Apoio - Posto'!$A:$AA,19,FALSE),"")</f>
        <v/>
      </c>
      <c r="F101" s="710" t="str">
        <f>IFERROR(VLOOKUP(F$18,'Apoio - Posto'!$A:$AA,19,FALSE),"")</f>
        <v/>
      </c>
      <c r="G101" s="710" t="str">
        <f>IFERROR(VLOOKUP(G$18,'Apoio - Posto'!$A:$AA,19,FALSE),"")</f>
        <v/>
      </c>
      <c r="H101" s="710" t="str">
        <f>IFERROR(VLOOKUP(H$18,'Apoio - Posto'!$A:$AA,19,FALSE),"")</f>
        <v/>
      </c>
      <c r="I101" s="710" t="str">
        <f>IFERROR(VLOOKUP(I$18,'Apoio - Posto'!$A:$AA,19,FALSE),"")</f>
        <v/>
      </c>
      <c r="J101" s="710" t="str">
        <f>IFERROR(VLOOKUP(J$18,'Apoio - Posto'!$A:$AA,19,FALSE),"")</f>
        <v/>
      </c>
      <c r="K101" s="710" t="str">
        <f>IFERROR(VLOOKUP(K$18,'Apoio - Posto'!$A:$AA,19,FALSE),"")</f>
        <v/>
      </c>
      <c r="L101" s="710" t="str">
        <f>IFERROR(VLOOKUP(L$18,'Apoio - Posto'!$A:$AA,19,FALSE),"")</f>
        <v/>
      </c>
      <c r="M101" s="710" t="str">
        <f>IFERROR(VLOOKUP(M$18,'Apoio - Posto'!$A:$AA,19,FALSE),"")</f>
        <v/>
      </c>
      <c r="N101" s="710" t="str">
        <f>IFERROR(VLOOKUP(N$18,'Apoio - Posto'!$A:$AA,19,FALSE),"")</f>
        <v/>
      </c>
      <c r="O101" s="710" t="str">
        <f>IFERROR(VLOOKUP(O$18,'Apoio - Posto'!$A:$AA,19,FALSE),"")</f>
        <v/>
      </c>
      <c r="P101" s="710" t="str">
        <f>IFERROR(VLOOKUP(P$18,'Apoio - Posto'!$A:$AA,19,FALSE),"")</f>
        <v/>
      </c>
      <c r="Q101" s="710" t="str">
        <f>IFERROR(VLOOKUP(Q$18,'Apoio - Posto'!$A:$AA,19,FALSE),"")</f>
        <v/>
      </c>
      <c r="R101" s="710" t="str">
        <f>IFERROR(VLOOKUP(R$18,'Apoio - Posto'!$A:$AA,19,FALSE),"")</f>
        <v/>
      </c>
      <c r="S101" s="710" t="str">
        <f>IFERROR(VLOOKUP(S$18,'Apoio - Posto'!$A:$AA,19,FALSE),"")</f>
        <v/>
      </c>
      <c r="T101" s="710" t="str">
        <f>IFERROR(VLOOKUP(T$18,'Apoio - Posto'!$A:$AA,19,FALSE),"")</f>
        <v/>
      </c>
      <c r="U101" s="710" t="str">
        <f>IFERROR(VLOOKUP(U$18,'Apoio - Posto'!$A:$AA,19,FALSE),"")</f>
        <v/>
      </c>
      <c r="V101" s="710" t="str">
        <f>IFERROR(VLOOKUP(V$18,'Apoio - Posto'!$A:$AA,19,FALSE),"")</f>
        <v/>
      </c>
      <c r="W101" s="710" t="str">
        <f>IFERROR(VLOOKUP(W$18,'Apoio - Posto'!$A:$AA,19,FALSE),"")</f>
        <v/>
      </c>
      <c r="X101" s="710" t="str">
        <f>IFERROR(VLOOKUP(X$18,'Apoio - Posto'!$A:$AA,19,FALSE),"")</f>
        <v/>
      </c>
      <c r="Y101" s="710" t="str">
        <f>IFERROR(VLOOKUP(Y$18,'Apoio - Posto'!$A:$AA,19,FALSE),"")</f>
        <v/>
      </c>
      <c r="Z101" s="710" t="str">
        <f>IFERROR(VLOOKUP(Z$18,'Apoio - Posto'!$A:$AA,19,FALSE),"")</f>
        <v/>
      </c>
      <c r="AA101" s="710" t="str">
        <f>IFERROR(VLOOKUP(AA$18,'Apoio - Posto'!$A:$AA,19,FALSE),"")</f>
        <v/>
      </c>
      <c r="AB101" s="710" t="str">
        <f>IFERROR(VLOOKUP(AB$18,'Apoio - Posto'!$A:$AA,19,FALSE),"")</f>
        <v/>
      </c>
      <c r="AC101" s="710" t="str">
        <f>IFERROR(VLOOKUP(AC$18,'Apoio - Posto'!$A:$AA,19,FALSE),"")</f>
        <v/>
      </c>
      <c r="AD101" s="710" t="str">
        <f>IFERROR(VLOOKUP(AD$18,'Apoio - Posto'!$A:$AA,19,FALSE),"")</f>
        <v/>
      </c>
    </row>
    <row r="102" spans="1:30">
      <c r="A102" s="739"/>
      <c r="B102" s="680" t="s">
        <v>7</v>
      </c>
      <c r="C102" s="681" t="s">
        <v>28</v>
      </c>
      <c r="D102" s="782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</row>
    <row r="103" spans="1:30">
      <c r="A103" s="739"/>
      <c r="B103" s="862" t="s">
        <v>6</v>
      </c>
      <c r="C103" s="767" t="s">
        <v>29</v>
      </c>
      <c r="D103" s="782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</row>
    <row r="104" spans="1:30">
      <c r="A104" s="739"/>
      <c r="B104" s="863"/>
      <c r="C104" s="783" t="s">
        <v>26</v>
      </c>
      <c r="D104" s="784"/>
      <c r="E104" s="771"/>
      <c r="F104" s="771"/>
      <c r="G104" s="771"/>
      <c r="H104" s="771"/>
      <c r="I104" s="771"/>
      <c r="J104" s="771"/>
      <c r="K104" s="771"/>
      <c r="L104" s="771"/>
      <c r="M104" s="771"/>
      <c r="N104" s="771"/>
      <c r="O104" s="771"/>
      <c r="P104" s="771"/>
      <c r="Q104" s="771"/>
      <c r="R104" s="771"/>
      <c r="S104" s="771"/>
      <c r="T104" s="771"/>
      <c r="U104" s="771"/>
      <c r="V104" s="771"/>
      <c r="W104" s="771"/>
      <c r="X104" s="771"/>
      <c r="Y104" s="771"/>
      <c r="Z104" s="771"/>
      <c r="AA104" s="771"/>
      <c r="AB104" s="771"/>
      <c r="AC104" s="771"/>
      <c r="AD104" s="771"/>
    </row>
    <row r="105" spans="1:30">
      <c r="A105" s="739"/>
      <c r="B105" s="863"/>
      <c r="C105" s="785" t="s">
        <v>136</v>
      </c>
      <c r="D105" s="772"/>
      <c r="E105" s="774"/>
      <c r="F105" s="774"/>
      <c r="G105" s="774"/>
      <c r="H105" s="774"/>
      <c r="I105" s="774"/>
      <c r="J105" s="774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</row>
    <row r="106" spans="1:30">
      <c r="A106" s="739"/>
      <c r="B106" s="864"/>
      <c r="C106" s="218"/>
      <c r="D106" s="766" t="s">
        <v>43</v>
      </c>
      <c r="E106" s="204">
        <f>IF(E20="","",IFERROR((E104)-(E$105*E$104),""))</f>
        <v>0</v>
      </c>
      <c r="F106" s="204">
        <f t="shared" ref="F106:H106" si="82">IF(F20="","",IFERROR((F104)-(F$105*F$104),""))</f>
        <v>0</v>
      </c>
      <c r="G106" s="204" t="str">
        <f t="shared" si="82"/>
        <v/>
      </c>
      <c r="H106" s="204" t="str">
        <f t="shared" si="82"/>
        <v/>
      </c>
      <c r="I106" s="204" t="str">
        <f t="shared" ref="I106:N106" si="83">IF(I20="","",IFERROR((I104)-(I$105*I$104),""))</f>
        <v/>
      </c>
      <c r="J106" s="204" t="str">
        <f t="shared" si="83"/>
        <v/>
      </c>
      <c r="K106" s="204" t="str">
        <f t="shared" si="83"/>
        <v/>
      </c>
      <c r="L106" s="204" t="str">
        <f t="shared" si="83"/>
        <v/>
      </c>
      <c r="M106" s="204" t="str">
        <f t="shared" si="83"/>
        <v/>
      </c>
      <c r="N106" s="204" t="str">
        <f t="shared" si="83"/>
        <v/>
      </c>
      <c r="O106" s="204" t="str">
        <f t="shared" ref="O106:AD106" si="84">IF(O20="","",IFERROR((O104)-(O$105*O$104),""))</f>
        <v/>
      </c>
      <c r="P106" s="204" t="str">
        <f t="shared" si="84"/>
        <v/>
      </c>
      <c r="Q106" s="204" t="str">
        <f t="shared" si="84"/>
        <v/>
      </c>
      <c r="R106" s="204" t="str">
        <f t="shared" si="84"/>
        <v/>
      </c>
      <c r="S106" s="204" t="str">
        <f t="shared" si="84"/>
        <v/>
      </c>
      <c r="T106" s="204" t="str">
        <f t="shared" si="84"/>
        <v/>
      </c>
      <c r="U106" s="204" t="str">
        <f t="shared" si="84"/>
        <v/>
      </c>
      <c r="V106" s="204" t="str">
        <f t="shared" si="84"/>
        <v/>
      </c>
      <c r="W106" s="204" t="str">
        <f t="shared" si="84"/>
        <v/>
      </c>
      <c r="X106" s="204" t="str">
        <f t="shared" si="84"/>
        <v/>
      </c>
      <c r="Y106" s="204" t="str">
        <f t="shared" si="84"/>
        <v/>
      </c>
      <c r="Z106" s="204" t="str">
        <f t="shared" si="84"/>
        <v/>
      </c>
      <c r="AA106" s="204" t="str">
        <f t="shared" si="84"/>
        <v/>
      </c>
      <c r="AB106" s="204" t="str">
        <f t="shared" si="84"/>
        <v/>
      </c>
      <c r="AC106" s="204" t="str">
        <f t="shared" si="84"/>
        <v/>
      </c>
      <c r="AD106" s="204" t="str">
        <f t="shared" si="84"/>
        <v/>
      </c>
    </row>
    <row r="107" spans="1:30">
      <c r="A107" s="739"/>
      <c r="B107" s="680" t="s">
        <v>5</v>
      </c>
      <c r="C107" s="681" t="s">
        <v>30</v>
      </c>
      <c r="D107" s="786" t="str">
        <f>IFERROR(VLOOKUP(E18,'Apoio - Posto'!A:J,14,FALSE),"")</f>
        <v/>
      </c>
      <c r="E107" s="787" t="str">
        <f>IFERROR(VLOOKUP(E$18,'Apoio - Posto'!$A:$AA,18,FALSE),"")</f>
        <v/>
      </c>
      <c r="F107" s="787" t="str">
        <f>IFERROR(VLOOKUP(F$18,'Apoio - Posto'!$A:$AA,18,FALSE),"")</f>
        <v/>
      </c>
      <c r="G107" s="787" t="str">
        <f>IFERROR(VLOOKUP(G$18,'Apoio - Posto'!$A:$AA,18,FALSE),"")</f>
        <v/>
      </c>
      <c r="H107" s="787" t="str">
        <f>IFERROR(VLOOKUP(H$18,'Apoio - Posto'!$A:$AA,18,FALSE),"")</f>
        <v/>
      </c>
      <c r="I107" s="787" t="str">
        <f>IFERROR(VLOOKUP(I$18,'Apoio - Posto'!$A:$AA,18,FALSE),"")</f>
        <v/>
      </c>
      <c r="J107" s="787" t="str">
        <f>IFERROR(VLOOKUP(J$18,'Apoio - Posto'!$A:$AA,18,FALSE),"")</f>
        <v/>
      </c>
      <c r="K107" s="787" t="str">
        <f>IFERROR(VLOOKUP(K$18,'Apoio - Posto'!$A:$AA,18,FALSE),"")</f>
        <v/>
      </c>
      <c r="L107" s="787" t="str">
        <f>IFERROR(VLOOKUP(L$18,'Apoio - Posto'!$A:$AA,18,FALSE),"")</f>
        <v/>
      </c>
      <c r="M107" s="787" t="str">
        <f>IFERROR(VLOOKUP(M$18,'Apoio - Posto'!$A:$AA,18,FALSE),"")</f>
        <v/>
      </c>
      <c r="N107" s="787" t="str">
        <f>IFERROR(VLOOKUP(N$18,'Apoio - Posto'!$A:$AA,18,FALSE),"")</f>
        <v/>
      </c>
      <c r="O107" s="787" t="str">
        <f>IFERROR(VLOOKUP(O$18,'Apoio - Posto'!$A:$AA,18,FALSE),"")</f>
        <v/>
      </c>
      <c r="P107" s="787" t="str">
        <f>IFERROR(VLOOKUP(P$18,'Apoio - Posto'!$A:$AA,18,FALSE),"")</f>
        <v/>
      </c>
      <c r="Q107" s="787" t="str">
        <f>IFERROR(VLOOKUP(Q$18,'Apoio - Posto'!$A:$AA,18,FALSE),"")</f>
        <v/>
      </c>
      <c r="R107" s="787" t="str">
        <f>IFERROR(VLOOKUP(R$18,'Apoio - Posto'!$A:$AA,18,FALSE),"")</f>
        <v/>
      </c>
      <c r="S107" s="787" t="str">
        <f>IFERROR(VLOOKUP(S$18,'Apoio - Posto'!$A:$AA,18,FALSE),"")</f>
        <v/>
      </c>
      <c r="T107" s="787" t="str">
        <f>IFERROR(VLOOKUP(T$18,'Apoio - Posto'!$A:$AA,18,FALSE),"")</f>
        <v/>
      </c>
      <c r="U107" s="787" t="str">
        <f>IFERROR(VLOOKUP(U$18,'Apoio - Posto'!$A:$AA,18,FALSE),"")</f>
        <v/>
      </c>
      <c r="V107" s="787" t="str">
        <f>IFERROR(VLOOKUP(V$18,'Apoio - Posto'!$A:$AA,18,FALSE),"")</f>
        <v/>
      </c>
      <c r="W107" s="787" t="str">
        <f>IFERROR(VLOOKUP(W$18,'Apoio - Posto'!$A:$AA,18,FALSE),"")</f>
        <v/>
      </c>
      <c r="X107" s="787" t="str">
        <f>IFERROR(VLOOKUP(X$18,'Apoio - Posto'!$A:$AA,18,FALSE),"")</f>
        <v/>
      </c>
      <c r="Y107" s="787" t="str">
        <f>IFERROR(VLOOKUP(Y$18,'Apoio - Posto'!$A:$AA,18,FALSE),"")</f>
        <v/>
      </c>
      <c r="Z107" s="787" t="str">
        <f>IFERROR(VLOOKUP(Z$18,'Apoio - Posto'!$A:$AA,18,FALSE),"")</f>
        <v/>
      </c>
      <c r="AA107" s="787" t="str">
        <f>IFERROR(VLOOKUP(AA$18,'Apoio - Posto'!$A:$AA,18,FALSE),"")</f>
        <v/>
      </c>
      <c r="AB107" s="787" t="str">
        <f>IFERROR(VLOOKUP(AB$18,'Apoio - Posto'!$A:$AA,18,FALSE),"")</f>
        <v/>
      </c>
      <c r="AC107" s="787" t="str">
        <f>IFERROR(VLOOKUP(AC$18,'Apoio - Posto'!$A:$AA,18,FALSE),"")</f>
        <v/>
      </c>
      <c r="AD107" s="787" t="str">
        <f>IFERROR(VLOOKUP(AD$18,'Apoio - Posto'!$A:$AA,18,FALSE),"")</f>
        <v/>
      </c>
    </row>
    <row r="108" spans="1:30">
      <c r="A108" s="739"/>
      <c r="B108" s="862" t="s">
        <v>4</v>
      </c>
      <c r="C108" s="767" t="s">
        <v>142</v>
      </c>
      <c r="D108" s="782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</row>
    <row r="109" spans="1:30">
      <c r="A109" s="739"/>
      <c r="B109" s="863"/>
      <c r="C109" s="769" t="s">
        <v>356</v>
      </c>
      <c r="D109" s="784"/>
      <c r="E109" s="788"/>
      <c r="F109" s="788"/>
      <c r="G109" s="788"/>
      <c r="H109" s="788"/>
      <c r="I109" s="788"/>
      <c r="J109" s="788"/>
      <c r="K109" s="788"/>
      <c r="L109" s="788"/>
      <c r="M109" s="788"/>
      <c r="N109" s="788"/>
      <c r="O109" s="788"/>
      <c r="P109" s="788"/>
      <c r="Q109" s="788"/>
      <c r="R109" s="788"/>
      <c r="S109" s="788"/>
      <c r="T109" s="788"/>
      <c r="U109" s="788"/>
      <c r="V109" s="788"/>
      <c r="W109" s="788"/>
      <c r="X109" s="788"/>
      <c r="Y109" s="788"/>
      <c r="Z109" s="788"/>
      <c r="AA109" s="788"/>
      <c r="AB109" s="788"/>
      <c r="AC109" s="788"/>
      <c r="AD109" s="788"/>
    </row>
    <row r="110" spans="1:30">
      <c r="A110" s="739"/>
      <c r="B110" s="863"/>
      <c r="C110" s="722" t="s">
        <v>357</v>
      </c>
      <c r="D110" s="772"/>
      <c r="E110" s="789"/>
      <c r="F110" s="789"/>
      <c r="G110" s="789"/>
      <c r="H110" s="789"/>
      <c r="I110" s="789"/>
      <c r="J110" s="789"/>
      <c r="K110" s="789"/>
      <c r="L110" s="789"/>
      <c r="M110" s="789"/>
      <c r="N110" s="789"/>
      <c r="O110" s="789"/>
      <c r="P110" s="789"/>
      <c r="Q110" s="789"/>
      <c r="R110" s="789"/>
      <c r="S110" s="789"/>
      <c r="T110" s="789"/>
      <c r="U110" s="789"/>
      <c r="V110" s="789"/>
      <c r="W110" s="789"/>
      <c r="X110" s="789"/>
      <c r="Y110" s="789"/>
      <c r="Z110" s="789"/>
      <c r="AA110" s="789"/>
      <c r="AB110" s="789"/>
      <c r="AC110" s="789"/>
      <c r="AD110" s="789"/>
    </row>
    <row r="111" spans="1:30">
      <c r="A111" s="739"/>
      <c r="B111" s="864"/>
      <c r="C111" s="92"/>
      <c r="D111" s="790" t="s">
        <v>43</v>
      </c>
      <c r="E111" s="791">
        <f>IF(E18="","",E109*(1-E110))</f>
        <v>0</v>
      </c>
      <c r="F111" s="791">
        <f t="shared" ref="F111:H111" si="85">IF(F18="","",F109*(1-F110))</f>
        <v>0</v>
      </c>
      <c r="G111" s="791" t="str">
        <f t="shared" si="85"/>
        <v/>
      </c>
      <c r="H111" s="791" t="str">
        <f t="shared" si="85"/>
        <v/>
      </c>
      <c r="I111" s="791" t="str">
        <f t="shared" ref="I111:N111" si="86">IF(I18="","",I109*(1-I110))</f>
        <v/>
      </c>
      <c r="J111" s="791" t="str">
        <f t="shared" si="86"/>
        <v/>
      </c>
      <c r="K111" s="791" t="str">
        <f t="shared" si="86"/>
        <v/>
      </c>
      <c r="L111" s="791" t="str">
        <f t="shared" si="86"/>
        <v/>
      </c>
      <c r="M111" s="791" t="str">
        <f t="shared" si="86"/>
        <v/>
      </c>
      <c r="N111" s="791" t="str">
        <f t="shared" si="86"/>
        <v/>
      </c>
      <c r="O111" s="791" t="str">
        <f t="shared" ref="O111:AD111" si="87">IF(O18="","",O109*(1-O110))</f>
        <v/>
      </c>
      <c r="P111" s="791" t="str">
        <f t="shared" si="87"/>
        <v/>
      </c>
      <c r="Q111" s="791" t="str">
        <f t="shared" si="87"/>
        <v/>
      </c>
      <c r="R111" s="791" t="str">
        <f t="shared" si="87"/>
        <v/>
      </c>
      <c r="S111" s="791" t="str">
        <f t="shared" si="87"/>
        <v/>
      </c>
      <c r="T111" s="791" t="str">
        <f t="shared" si="87"/>
        <v/>
      </c>
      <c r="U111" s="791" t="str">
        <f t="shared" si="87"/>
        <v/>
      </c>
      <c r="V111" s="791" t="str">
        <f t="shared" si="87"/>
        <v/>
      </c>
      <c r="W111" s="791" t="str">
        <f t="shared" si="87"/>
        <v/>
      </c>
      <c r="X111" s="791" t="str">
        <f t="shared" si="87"/>
        <v/>
      </c>
      <c r="Y111" s="791" t="str">
        <f t="shared" si="87"/>
        <v/>
      </c>
      <c r="Z111" s="791" t="str">
        <f t="shared" si="87"/>
        <v/>
      </c>
      <c r="AA111" s="791" t="str">
        <f t="shared" si="87"/>
        <v/>
      </c>
      <c r="AB111" s="791" t="str">
        <f t="shared" si="87"/>
        <v/>
      </c>
      <c r="AC111" s="791" t="str">
        <f t="shared" si="87"/>
        <v/>
      </c>
      <c r="AD111" s="791" t="str">
        <f t="shared" si="87"/>
        <v/>
      </c>
    </row>
    <row r="112" spans="1:30" s="5" customFormat="1">
      <c r="A112" s="746"/>
      <c r="B112" s="792"/>
      <c r="C112" s="793" t="s">
        <v>145</v>
      </c>
      <c r="D112" s="794"/>
      <c r="E112" s="795">
        <f>IF(E20="","",SUM(E91,E96,E100,E101,E102,E106,E107,E111))</f>
        <v>337.77</v>
      </c>
      <c r="F112" s="795">
        <f t="shared" ref="F112:H112" si="88">IF(F20="","",SUM(F91,F96,F100,F101,F102,F106,F107,F111))</f>
        <v>337.77</v>
      </c>
      <c r="G112" s="795" t="str">
        <f t="shared" si="88"/>
        <v/>
      </c>
      <c r="H112" s="795" t="str">
        <f t="shared" si="88"/>
        <v/>
      </c>
      <c r="I112" s="795" t="str">
        <f t="shared" ref="I112:N112" si="89">IF(I20="","",SUM(I91,I96,I100,I101,I102,I106,I107,I111))</f>
        <v/>
      </c>
      <c r="J112" s="795" t="str">
        <f t="shared" si="89"/>
        <v/>
      </c>
      <c r="K112" s="795" t="str">
        <f t="shared" si="89"/>
        <v/>
      </c>
      <c r="L112" s="795" t="str">
        <f t="shared" si="89"/>
        <v/>
      </c>
      <c r="M112" s="795" t="str">
        <f t="shared" si="89"/>
        <v/>
      </c>
      <c r="N112" s="795" t="str">
        <f t="shared" si="89"/>
        <v/>
      </c>
      <c r="O112" s="795" t="str">
        <f t="shared" ref="O112:AD112" si="90">IF(O20="","",SUM(O91,O96,O100,O101,O102,O106,O107,O111))</f>
        <v/>
      </c>
      <c r="P112" s="795" t="str">
        <f t="shared" si="90"/>
        <v/>
      </c>
      <c r="Q112" s="795" t="str">
        <f t="shared" si="90"/>
        <v/>
      </c>
      <c r="R112" s="795" t="str">
        <f t="shared" si="90"/>
        <v/>
      </c>
      <c r="S112" s="795" t="str">
        <f t="shared" si="90"/>
        <v/>
      </c>
      <c r="T112" s="795" t="str">
        <f t="shared" si="90"/>
        <v/>
      </c>
      <c r="U112" s="795" t="str">
        <f t="shared" si="90"/>
        <v/>
      </c>
      <c r="V112" s="795" t="str">
        <f t="shared" si="90"/>
        <v/>
      </c>
      <c r="W112" s="795" t="str">
        <f t="shared" si="90"/>
        <v/>
      </c>
      <c r="X112" s="795" t="str">
        <f t="shared" si="90"/>
        <v/>
      </c>
      <c r="Y112" s="795" t="str">
        <f t="shared" si="90"/>
        <v/>
      </c>
      <c r="Z112" s="795" t="str">
        <f t="shared" si="90"/>
        <v/>
      </c>
      <c r="AA112" s="795" t="str">
        <f t="shared" si="90"/>
        <v/>
      </c>
      <c r="AB112" s="795" t="str">
        <f t="shared" si="90"/>
        <v/>
      </c>
      <c r="AC112" s="795" t="str">
        <f t="shared" si="90"/>
        <v/>
      </c>
      <c r="AD112" s="795" t="str">
        <f t="shared" si="90"/>
        <v/>
      </c>
    </row>
    <row r="113" spans="1:30" customFormat="1" ht="3.75" customHeight="1"/>
    <row r="114" spans="1:30" s="5" customFormat="1">
      <c r="A114" s="733"/>
      <c r="B114" s="529"/>
      <c r="C114" s="517" t="s">
        <v>143</v>
      </c>
      <c r="D114" s="734"/>
      <c r="E114" s="737">
        <f>IF(E20="","",IFERROR(SUM(E112,E83,E69),""))</f>
        <v>2089.9362179999998</v>
      </c>
      <c r="F114" s="735">
        <f t="shared" ref="F114:H114" si="91">IF(F20="","",IFERROR(SUM(F112,F83,F69),""))</f>
        <v>2462.6697589200003</v>
      </c>
      <c r="G114" s="796" t="str">
        <f t="shared" si="91"/>
        <v/>
      </c>
      <c r="H114" s="735" t="str">
        <f t="shared" si="91"/>
        <v/>
      </c>
      <c r="I114" s="735" t="str">
        <f t="shared" ref="I114:N114" si="92">IF(I20="","",IFERROR(SUM(I112,I83,I69),""))</f>
        <v/>
      </c>
      <c r="J114" s="735" t="str">
        <f t="shared" si="92"/>
        <v/>
      </c>
      <c r="K114" s="735" t="str">
        <f t="shared" si="92"/>
        <v/>
      </c>
      <c r="L114" s="735" t="str">
        <f t="shared" si="92"/>
        <v/>
      </c>
      <c r="M114" s="735" t="str">
        <f t="shared" si="92"/>
        <v/>
      </c>
      <c r="N114" s="735" t="str">
        <f t="shared" si="92"/>
        <v/>
      </c>
      <c r="O114" s="735" t="str">
        <f t="shared" ref="O114:AD114" si="93">IF(O20="","",IFERROR(SUM(O112,O83,O69),""))</f>
        <v/>
      </c>
      <c r="P114" s="735" t="str">
        <f t="shared" si="93"/>
        <v/>
      </c>
      <c r="Q114" s="735" t="str">
        <f t="shared" si="93"/>
        <v/>
      </c>
      <c r="R114" s="735" t="str">
        <f t="shared" si="93"/>
        <v/>
      </c>
      <c r="S114" s="735" t="str">
        <f t="shared" si="93"/>
        <v/>
      </c>
      <c r="T114" s="735" t="str">
        <f t="shared" si="93"/>
        <v/>
      </c>
      <c r="U114" s="735" t="str">
        <f t="shared" si="93"/>
        <v/>
      </c>
      <c r="V114" s="735" t="str">
        <f t="shared" si="93"/>
        <v/>
      </c>
      <c r="W114" s="735" t="str">
        <f t="shared" si="93"/>
        <v/>
      </c>
      <c r="X114" s="735" t="str">
        <f t="shared" si="93"/>
        <v/>
      </c>
      <c r="Y114" s="735" t="str">
        <f t="shared" si="93"/>
        <v/>
      </c>
      <c r="Z114" s="735" t="str">
        <f t="shared" si="93"/>
        <v/>
      </c>
      <c r="AA114" s="735" t="str">
        <f t="shared" si="93"/>
        <v/>
      </c>
      <c r="AB114" s="735" t="str">
        <f t="shared" si="93"/>
        <v/>
      </c>
      <c r="AC114" s="735" t="str">
        <f t="shared" si="93"/>
        <v/>
      </c>
      <c r="AD114" s="735" t="str">
        <f t="shared" si="93"/>
        <v/>
      </c>
    </row>
    <row r="115" spans="1:30" s="6" customFormat="1">
      <c r="B115" s="7"/>
      <c r="C115" s="7"/>
      <c r="D115" s="7"/>
      <c r="E115" s="797"/>
      <c r="F115" s="797"/>
      <c r="G115" s="797"/>
      <c r="H115" s="797"/>
      <c r="I115" s="797"/>
      <c r="J115" s="797"/>
      <c r="K115" s="797"/>
      <c r="L115" s="797"/>
      <c r="M115" s="797"/>
      <c r="N115" s="797"/>
      <c r="O115" s="797"/>
      <c r="P115" s="797"/>
      <c r="Q115" s="797"/>
      <c r="R115" s="797"/>
      <c r="S115" s="797"/>
      <c r="T115" s="797"/>
      <c r="U115" s="797"/>
      <c r="V115" s="797"/>
      <c r="W115" s="797"/>
      <c r="X115" s="797"/>
      <c r="Y115" s="797"/>
      <c r="Z115" s="797"/>
      <c r="AA115" s="797"/>
      <c r="AB115" s="797"/>
      <c r="AC115" s="797"/>
      <c r="AD115" s="797"/>
    </row>
    <row r="116" spans="1:30" s="6" customFormat="1">
      <c r="A116" s="739"/>
      <c r="B116" s="477"/>
      <c r="C116" s="517" t="s">
        <v>155</v>
      </c>
      <c r="D116" s="678"/>
      <c r="E116" s="402"/>
      <c r="F116" s="798"/>
      <c r="G116" s="402"/>
      <c r="H116" s="402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</row>
    <row r="117" spans="1:30" s="13" customFormat="1">
      <c r="A117" s="799"/>
      <c r="B117" s="595" t="s">
        <v>2</v>
      </c>
      <c r="C117" s="709" t="s">
        <v>272</v>
      </c>
      <c r="D117" s="744">
        <v>0</v>
      </c>
      <c r="E117" s="683">
        <f t="shared" ref="E117:T122" si="94">IFERROR($D117*E$61,"")</f>
        <v>0</v>
      </c>
      <c r="F117" s="683">
        <f t="shared" si="94"/>
        <v>0</v>
      </c>
      <c r="G117" s="683" t="str">
        <f t="shared" si="94"/>
        <v/>
      </c>
      <c r="H117" s="683" t="str">
        <f t="shared" si="94"/>
        <v/>
      </c>
      <c r="I117" s="683" t="str">
        <f t="shared" si="94"/>
        <v/>
      </c>
      <c r="J117" s="683" t="str">
        <f t="shared" si="94"/>
        <v/>
      </c>
      <c r="K117" s="683" t="str">
        <f t="shared" si="94"/>
        <v/>
      </c>
      <c r="L117" s="683" t="str">
        <f t="shared" si="94"/>
        <v/>
      </c>
      <c r="M117" s="683" t="str">
        <f t="shared" si="94"/>
        <v/>
      </c>
      <c r="N117" s="683" t="str">
        <f t="shared" si="94"/>
        <v/>
      </c>
      <c r="O117" s="683" t="str">
        <f t="shared" si="94"/>
        <v/>
      </c>
      <c r="P117" s="683" t="str">
        <f t="shared" si="94"/>
        <v/>
      </c>
      <c r="Q117" s="683" t="str">
        <f t="shared" si="94"/>
        <v/>
      </c>
      <c r="R117" s="683" t="str">
        <f t="shared" si="94"/>
        <v/>
      </c>
      <c r="S117" s="683" t="str">
        <f t="shared" si="94"/>
        <v/>
      </c>
      <c r="T117" s="683" t="str">
        <f t="shared" si="94"/>
        <v/>
      </c>
      <c r="U117" s="683" t="str">
        <f t="shared" ref="O117:AD122" si="95">IFERROR($D117*U$61,"")</f>
        <v/>
      </c>
      <c r="V117" s="683" t="str">
        <f t="shared" si="95"/>
        <v/>
      </c>
      <c r="W117" s="683" t="str">
        <f t="shared" si="95"/>
        <v/>
      </c>
      <c r="X117" s="683" t="str">
        <f t="shared" si="95"/>
        <v/>
      </c>
      <c r="Y117" s="683" t="str">
        <f t="shared" si="95"/>
        <v/>
      </c>
      <c r="Z117" s="683" t="str">
        <f t="shared" si="95"/>
        <v/>
      </c>
      <c r="AA117" s="683" t="str">
        <f t="shared" si="95"/>
        <v/>
      </c>
      <c r="AB117" s="683" t="str">
        <f t="shared" si="95"/>
        <v/>
      </c>
      <c r="AC117" s="683" t="str">
        <f t="shared" si="95"/>
        <v/>
      </c>
      <c r="AD117" s="683" t="str">
        <f t="shared" si="95"/>
        <v/>
      </c>
    </row>
    <row r="118" spans="1:30" s="13" customFormat="1">
      <c r="A118" s="799"/>
      <c r="B118" s="595" t="s">
        <v>1</v>
      </c>
      <c r="C118" s="709" t="s">
        <v>31</v>
      </c>
      <c r="D118" s="744">
        <v>0</v>
      </c>
      <c r="E118" s="683">
        <f t="shared" si="94"/>
        <v>0</v>
      </c>
      <c r="F118" s="683">
        <f t="shared" si="94"/>
        <v>0</v>
      </c>
      <c r="G118" s="683" t="str">
        <f t="shared" si="94"/>
        <v/>
      </c>
      <c r="H118" s="683" t="str">
        <f t="shared" si="94"/>
        <v/>
      </c>
      <c r="I118" s="683" t="str">
        <f t="shared" si="94"/>
        <v/>
      </c>
      <c r="J118" s="683" t="str">
        <f t="shared" si="94"/>
        <v/>
      </c>
      <c r="K118" s="683" t="str">
        <f t="shared" si="94"/>
        <v/>
      </c>
      <c r="L118" s="683" t="str">
        <f t="shared" si="94"/>
        <v/>
      </c>
      <c r="M118" s="683" t="str">
        <f t="shared" si="94"/>
        <v/>
      </c>
      <c r="N118" s="683" t="str">
        <f t="shared" si="94"/>
        <v/>
      </c>
      <c r="O118" s="683" t="str">
        <f t="shared" si="95"/>
        <v/>
      </c>
      <c r="P118" s="683" t="str">
        <f t="shared" si="95"/>
        <v/>
      </c>
      <c r="Q118" s="683" t="str">
        <f t="shared" si="95"/>
        <v/>
      </c>
      <c r="R118" s="683" t="str">
        <f t="shared" si="95"/>
        <v/>
      </c>
      <c r="S118" s="683" t="str">
        <f t="shared" si="95"/>
        <v/>
      </c>
      <c r="T118" s="683" t="str">
        <f t="shared" si="95"/>
        <v/>
      </c>
      <c r="U118" s="683" t="str">
        <f t="shared" si="95"/>
        <v/>
      </c>
      <c r="V118" s="683" t="str">
        <f t="shared" si="95"/>
        <v/>
      </c>
      <c r="W118" s="683" t="str">
        <f t="shared" si="95"/>
        <v/>
      </c>
      <c r="X118" s="683" t="str">
        <f t="shared" si="95"/>
        <v/>
      </c>
      <c r="Y118" s="683" t="str">
        <f t="shared" si="95"/>
        <v/>
      </c>
      <c r="Z118" s="683" t="str">
        <f t="shared" si="95"/>
        <v/>
      </c>
      <c r="AA118" s="683" t="str">
        <f t="shared" si="95"/>
        <v/>
      </c>
      <c r="AB118" s="683" t="str">
        <f t="shared" si="95"/>
        <v/>
      </c>
      <c r="AC118" s="683" t="str">
        <f t="shared" si="95"/>
        <v/>
      </c>
      <c r="AD118" s="683" t="str">
        <f t="shared" si="95"/>
        <v/>
      </c>
    </row>
    <row r="119" spans="1:30" s="13" customFormat="1">
      <c r="A119" s="799"/>
      <c r="B119" s="595" t="s">
        <v>0</v>
      </c>
      <c r="C119" s="709" t="s">
        <v>32</v>
      </c>
      <c r="D119" s="744">
        <v>0</v>
      </c>
      <c r="E119" s="683">
        <f t="shared" si="94"/>
        <v>0</v>
      </c>
      <c r="F119" s="683">
        <f t="shared" si="94"/>
        <v>0</v>
      </c>
      <c r="G119" s="683" t="str">
        <f t="shared" si="94"/>
        <v/>
      </c>
      <c r="H119" s="683" t="str">
        <f t="shared" si="94"/>
        <v/>
      </c>
      <c r="I119" s="683" t="str">
        <f t="shared" si="94"/>
        <v/>
      </c>
      <c r="J119" s="683" t="str">
        <f t="shared" si="94"/>
        <v/>
      </c>
      <c r="K119" s="683" t="str">
        <f t="shared" si="94"/>
        <v/>
      </c>
      <c r="L119" s="683" t="str">
        <f t="shared" si="94"/>
        <v/>
      </c>
      <c r="M119" s="683" t="str">
        <f t="shared" si="94"/>
        <v/>
      </c>
      <c r="N119" s="683" t="str">
        <f t="shared" si="94"/>
        <v/>
      </c>
      <c r="O119" s="683" t="str">
        <f t="shared" si="95"/>
        <v/>
      </c>
      <c r="P119" s="683" t="str">
        <f t="shared" si="95"/>
        <v/>
      </c>
      <c r="Q119" s="683" t="str">
        <f t="shared" si="95"/>
        <v/>
      </c>
      <c r="R119" s="683" t="str">
        <f t="shared" si="95"/>
        <v/>
      </c>
      <c r="S119" s="683" t="str">
        <f t="shared" si="95"/>
        <v/>
      </c>
      <c r="T119" s="683" t="str">
        <f t="shared" si="95"/>
        <v/>
      </c>
      <c r="U119" s="683" t="str">
        <f t="shared" si="95"/>
        <v/>
      </c>
      <c r="V119" s="683" t="str">
        <f t="shared" si="95"/>
        <v/>
      </c>
      <c r="W119" s="683" t="str">
        <f t="shared" si="95"/>
        <v/>
      </c>
      <c r="X119" s="683" t="str">
        <f t="shared" si="95"/>
        <v/>
      </c>
      <c r="Y119" s="683" t="str">
        <f t="shared" si="95"/>
        <v/>
      </c>
      <c r="Z119" s="683" t="str">
        <f t="shared" si="95"/>
        <v/>
      </c>
      <c r="AA119" s="683" t="str">
        <f t="shared" si="95"/>
        <v/>
      </c>
      <c r="AB119" s="683" t="str">
        <f t="shared" si="95"/>
        <v/>
      </c>
      <c r="AC119" s="683" t="str">
        <f t="shared" si="95"/>
        <v/>
      </c>
      <c r="AD119" s="683" t="str">
        <f t="shared" si="95"/>
        <v/>
      </c>
    </row>
    <row r="120" spans="1:30" s="13" customFormat="1">
      <c r="A120" s="799"/>
      <c r="B120" s="595" t="s">
        <v>3</v>
      </c>
      <c r="C120" s="709" t="s">
        <v>33</v>
      </c>
      <c r="D120" s="744">
        <v>0</v>
      </c>
      <c r="E120" s="683">
        <f t="shared" si="94"/>
        <v>0</v>
      </c>
      <c r="F120" s="683">
        <f t="shared" si="94"/>
        <v>0</v>
      </c>
      <c r="G120" s="683" t="str">
        <f t="shared" si="94"/>
        <v/>
      </c>
      <c r="H120" s="683" t="str">
        <f t="shared" si="94"/>
        <v/>
      </c>
      <c r="I120" s="683" t="str">
        <f t="shared" si="94"/>
        <v/>
      </c>
      <c r="J120" s="683" t="str">
        <f t="shared" si="94"/>
        <v/>
      </c>
      <c r="K120" s="683" t="str">
        <f t="shared" si="94"/>
        <v/>
      </c>
      <c r="L120" s="683" t="str">
        <f t="shared" si="94"/>
        <v/>
      </c>
      <c r="M120" s="683" t="str">
        <f t="shared" si="94"/>
        <v/>
      </c>
      <c r="N120" s="683" t="str">
        <f t="shared" si="94"/>
        <v/>
      </c>
      <c r="O120" s="683" t="str">
        <f t="shared" si="95"/>
        <v/>
      </c>
      <c r="P120" s="683" t="str">
        <f t="shared" si="95"/>
        <v/>
      </c>
      <c r="Q120" s="683" t="str">
        <f t="shared" si="95"/>
        <v/>
      </c>
      <c r="R120" s="683" t="str">
        <f t="shared" si="95"/>
        <v/>
      </c>
      <c r="S120" s="683" t="str">
        <f t="shared" si="95"/>
        <v/>
      </c>
      <c r="T120" s="683" t="str">
        <f t="shared" si="95"/>
        <v/>
      </c>
      <c r="U120" s="683" t="str">
        <f t="shared" si="95"/>
        <v/>
      </c>
      <c r="V120" s="683" t="str">
        <f t="shared" si="95"/>
        <v/>
      </c>
      <c r="W120" s="683" t="str">
        <f t="shared" si="95"/>
        <v/>
      </c>
      <c r="X120" s="683" t="str">
        <f t="shared" si="95"/>
        <v/>
      </c>
      <c r="Y120" s="683" t="str">
        <f t="shared" si="95"/>
        <v/>
      </c>
      <c r="Z120" s="683" t="str">
        <f t="shared" si="95"/>
        <v/>
      </c>
      <c r="AA120" s="683" t="str">
        <f t="shared" si="95"/>
        <v/>
      </c>
      <c r="AB120" s="683" t="str">
        <f t="shared" si="95"/>
        <v/>
      </c>
      <c r="AC120" s="683" t="str">
        <f t="shared" si="95"/>
        <v/>
      </c>
      <c r="AD120" s="683" t="str">
        <f t="shared" si="95"/>
        <v/>
      </c>
    </row>
    <row r="121" spans="1:30" s="13" customFormat="1">
      <c r="A121" s="799"/>
      <c r="B121" s="595" t="s">
        <v>7</v>
      </c>
      <c r="C121" s="709" t="s">
        <v>34</v>
      </c>
      <c r="D121" s="744">
        <v>0</v>
      </c>
      <c r="E121" s="683">
        <f t="shared" si="94"/>
        <v>0</v>
      </c>
      <c r="F121" s="683">
        <f t="shared" si="94"/>
        <v>0</v>
      </c>
      <c r="G121" s="683" t="str">
        <f t="shared" si="94"/>
        <v/>
      </c>
      <c r="H121" s="683" t="str">
        <f t="shared" si="94"/>
        <v/>
      </c>
      <c r="I121" s="683" t="str">
        <f t="shared" si="94"/>
        <v/>
      </c>
      <c r="J121" s="683" t="str">
        <f t="shared" si="94"/>
        <v/>
      </c>
      <c r="K121" s="683" t="str">
        <f t="shared" si="94"/>
        <v/>
      </c>
      <c r="L121" s="683" t="str">
        <f t="shared" si="94"/>
        <v/>
      </c>
      <c r="M121" s="683" t="str">
        <f t="shared" si="94"/>
        <v/>
      </c>
      <c r="N121" s="683" t="str">
        <f t="shared" si="94"/>
        <v/>
      </c>
      <c r="O121" s="683" t="str">
        <f t="shared" si="95"/>
        <v/>
      </c>
      <c r="P121" s="683" t="str">
        <f t="shared" si="95"/>
        <v/>
      </c>
      <c r="Q121" s="683" t="str">
        <f t="shared" si="95"/>
        <v/>
      </c>
      <c r="R121" s="683" t="str">
        <f t="shared" si="95"/>
        <v/>
      </c>
      <c r="S121" s="683" t="str">
        <f t="shared" si="95"/>
        <v/>
      </c>
      <c r="T121" s="683" t="str">
        <f t="shared" si="95"/>
        <v/>
      </c>
      <c r="U121" s="683" t="str">
        <f t="shared" si="95"/>
        <v/>
      </c>
      <c r="V121" s="683" t="str">
        <f t="shared" si="95"/>
        <v/>
      </c>
      <c r="W121" s="683" t="str">
        <f t="shared" si="95"/>
        <v/>
      </c>
      <c r="X121" s="683" t="str">
        <f t="shared" si="95"/>
        <v/>
      </c>
      <c r="Y121" s="683" t="str">
        <f t="shared" si="95"/>
        <v/>
      </c>
      <c r="Z121" s="683" t="str">
        <f t="shared" si="95"/>
        <v/>
      </c>
      <c r="AA121" s="683" t="str">
        <f t="shared" si="95"/>
        <v/>
      </c>
      <c r="AB121" s="683" t="str">
        <f t="shared" si="95"/>
        <v/>
      </c>
      <c r="AC121" s="683" t="str">
        <f t="shared" si="95"/>
        <v/>
      </c>
      <c r="AD121" s="683" t="str">
        <f t="shared" si="95"/>
        <v/>
      </c>
    </row>
    <row r="122" spans="1:30" s="13" customFormat="1">
      <c r="A122" s="799"/>
      <c r="B122" s="595" t="s">
        <v>6</v>
      </c>
      <c r="C122" s="709" t="s">
        <v>35</v>
      </c>
      <c r="D122" s="744">
        <v>0</v>
      </c>
      <c r="E122" s="683">
        <f t="shared" si="94"/>
        <v>0</v>
      </c>
      <c r="F122" s="683">
        <f t="shared" si="94"/>
        <v>0</v>
      </c>
      <c r="G122" s="683" t="str">
        <f t="shared" si="94"/>
        <v/>
      </c>
      <c r="H122" s="683" t="str">
        <f t="shared" si="94"/>
        <v/>
      </c>
      <c r="I122" s="683" t="str">
        <f t="shared" si="94"/>
        <v/>
      </c>
      <c r="J122" s="683" t="str">
        <f t="shared" si="94"/>
        <v/>
      </c>
      <c r="K122" s="683" t="str">
        <f t="shared" si="94"/>
        <v/>
      </c>
      <c r="L122" s="683" t="str">
        <f t="shared" si="94"/>
        <v/>
      </c>
      <c r="M122" s="683" t="str">
        <f t="shared" si="94"/>
        <v/>
      </c>
      <c r="N122" s="683" t="str">
        <f t="shared" si="94"/>
        <v/>
      </c>
      <c r="O122" s="683" t="str">
        <f t="shared" si="95"/>
        <v/>
      </c>
      <c r="P122" s="683" t="str">
        <f t="shared" si="95"/>
        <v/>
      </c>
      <c r="Q122" s="683" t="str">
        <f t="shared" si="95"/>
        <v/>
      </c>
      <c r="R122" s="683" t="str">
        <f t="shared" si="95"/>
        <v/>
      </c>
      <c r="S122" s="683" t="str">
        <f t="shared" si="95"/>
        <v/>
      </c>
      <c r="T122" s="683" t="str">
        <f t="shared" si="95"/>
        <v/>
      </c>
      <c r="U122" s="683" t="str">
        <f t="shared" si="95"/>
        <v/>
      </c>
      <c r="V122" s="683" t="str">
        <f t="shared" si="95"/>
        <v/>
      </c>
      <c r="W122" s="683" t="str">
        <f t="shared" si="95"/>
        <v/>
      </c>
      <c r="X122" s="683" t="str">
        <f t="shared" si="95"/>
        <v/>
      </c>
      <c r="Y122" s="683" t="str">
        <f t="shared" si="95"/>
        <v/>
      </c>
      <c r="Z122" s="683" t="str">
        <f t="shared" si="95"/>
        <v/>
      </c>
      <c r="AA122" s="683" t="str">
        <f t="shared" si="95"/>
        <v/>
      </c>
      <c r="AB122" s="683" t="str">
        <f t="shared" si="95"/>
        <v/>
      </c>
      <c r="AC122" s="683" t="str">
        <f t="shared" si="95"/>
        <v/>
      </c>
      <c r="AD122" s="683" t="str">
        <f t="shared" si="95"/>
        <v/>
      </c>
    </row>
    <row r="123" spans="1:30" s="5" customFormat="1">
      <c r="A123" s="733"/>
      <c r="B123" s="529"/>
      <c r="C123" s="517" t="s">
        <v>144</v>
      </c>
      <c r="D123" s="734"/>
      <c r="E123" s="735" t="str">
        <f>IF(SUM(E117:E122)=0,"",SUM(E117:E122))</f>
        <v/>
      </c>
      <c r="F123" s="735" t="str">
        <f t="shared" ref="F123:H123" si="96">IF(SUM(F117:F122)=0,"",SUM(F117:F122))</f>
        <v/>
      </c>
      <c r="G123" s="735" t="str">
        <f t="shared" si="96"/>
        <v/>
      </c>
      <c r="H123" s="735" t="str">
        <f t="shared" si="96"/>
        <v/>
      </c>
      <c r="I123" s="735" t="str">
        <f t="shared" ref="I123:N123" si="97">IF(SUM(I117:I122)=0,"",SUM(I117:I122))</f>
        <v/>
      </c>
      <c r="J123" s="735" t="str">
        <f t="shared" si="97"/>
        <v/>
      </c>
      <c r="K123" s="735" t="str">
        <f t="shared" si="97"/>
        <v/>
      </c>
      <c r="L123" s="735" t="str">
        <f t="shared" si="97"/>
        <v/>
      </c>
      <c r="M123" s="735" t="str">
        <f t="shared" si="97"/>
        <v/>
      </c>
      <c r="N123" s="735" t="str">
        <f t="shared" si="97"/>
        <v/>
      </c>
      <c r="O123" s="735" t="str">
        <f t="shared" ref="O123:AD123" si="98">IF(SUM(O117:O122)=0,"",SUM(O117:O122))</f>
        <v/>
      </c>
      <c r="P123" s="735" t="str">
        <f t="shared" si="98"/>
        <v/>
      </c>
      <c r="Q123" s="735" t="str">
        <f t="shared" si="98"/>
        <v/>
      </c>
      <c r="R123" s="735" t="str">
        <f t="shared" si="98"/>
        <v/>
      </c>
      <c r="S123" s="735" t="str">
        <f t="shared" si="98"/>
        <v/>
      </c>
      <c r="T123" s="735" t="str">
        <f t="shared" si="98"/>
        <v/>
      </c>
      <c r="U123" s="735" t="str">
        <f t="shared" si="98"/>
        <v/>
      </c>
      <c r="V123" s="735" t="str">
        <f t="shared" si="98"/>
        <v/>
      </c>
      <c r="W123" s="735" t="str">
        <f t="shared" si="98"/>
        <v/>
      </c>
      <c r="X123" s="735" t="str">
        <f t="shared" si="98"/>
        <v/>
      </c>
      <c r="Y123" s="735" t="str">
        <f t="shared" si="98"/>
        <v/>
      </c>
      <c r="Z123" s="735" t="str">
        <f t="shared" si="98"/>
        <v/>
      </c>
      <c r="AA123" s="735" t="str">
        <f t="shared" si="98"/>
        <v/>
      </c>
      <c r="AB123" s="735" t="str">
        <f t="shared" si="98"/>
        <v/>
      </c>
      <c r="AC123" s="735" t="str">
        <f t="shared" si="98"/>
        <v/>
      </c>
      <c r="AD123" s="735" t="str">
        <f t="shared" si="98"/>
        <v/>
      </c>
    </row>
    <row r="124" spans="1:30" s="18" customFormat="1">
      <c r="A124" s="17"/>
      <c r="D124" s="14"/>
      <c r="E124" s="800"/>
      <c r="F124" s="800"/>
      <c r="G124" s="800"/>
      <c r="H124" s="800"/>
      <c r="I124" s="800"/>
      <c r="J124" s="800"/>
      <c r="K124" s="800"/>
      <c r="L124" s="800"/>
      <c r="M124" s="800"/>
      <c r="N124" s="800"/>
      <c r="O124" s="800"/>
      <c r="P124" s="800"/>
      <c r="Q124" s="800"/>
      <c r="R124" s="800"/>
      <c r="S124" s="800"/>
      <c r="T124" s="800"/>
      <c r="U124" s="800"/>
      <c r="V124" s="800"/>
      <c r="W124" s="800"/>
      <c r="X124" s="800"/>
      <c r="Y124" s="800"/>
      <c r="Z124" s="800"/>
      <c r="AA124" s="800"/>
      <c r="AB124" s="800"/>
      <c r="AC124" s="800"/>
      <c r="AD124" s="800"/>
    </row>
    <row r="125" spans="1:30" s="6" customFormat="1">
      <c r="A125" s="739"/>
      <c r="B125" s="477"/>
      <c r="C125" s="517" t="s">
        <v>156</v>
      </c>
      <c r="D125" s="678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  <c r="AC125" s="402"/>
      <c r="AD125" s="402"/>
    </row>
    <row r="126" spans="1:30" customFormat="1" ht="3.75" customHeight="1"/>
    <row r="127" spans="1:30" s="6" customFormat="1">
      <c r="A127" s="740"/>
      <c r="B127" s="538"/>
      <c r="C127" s="539" t="s">
        <v>230</v>
      </c>
      <c r="D127" s="741"/>
      <c r="E127" s="742"/>
      <c r="F127" s="743"/>
      <c r="G127" s="743"/>
      <c r="H127" s="743"/>
      <c r="I127" s="743"/>
      <c r="J127" s="743"/>
      <c r="K127" s="743"/>
      <c r="L127" s="743"/>
      <c r="M127" s="743"/>
      <c r="N127" s="743"/>
      <c r="O127" s="743"/>
      <c r="P127" s="743"/>
      <c r="Q127" s="743"/>
      <c r="R127" s="743"/>
      <c r="S127" s="743"/>
      <c r="T127" s="743"/>
      <c r="U127" s="743"/>
      <c r="V127" s="743"/>
      <c r="W127" s="743"/>
      <c r="X127" s="743"/>
      <c r="Y127" s="743"/>
      <c r="Z127" s="743"/>
      <c r="AA127" s="743"/>
      <c r="AB127" s="743"/>
      <c r="AC127" s="743"/>
      <c r="AD127" s="743"/>
    </row>
    <row r="128" spans="1:30" s="13" customFormat="1">
      <c r="A128" s="801"/>
      <c r="B128" s="595" t="s">
        <v>2</v>
      </c>
      <c r="C128" s="709" t="s">
        <v>36</v>
      </c>
      <c r="D128" s="744">
        <v>0</v>
      </c>
      <c r="E128" s="683">
        <f>IF(E20="","",IFERROR($D128*SUM(E$61),""))</f>
        <v>0</v>
      </c>
      <c r="F128" s="748">
        <f t="shared" ref="F128:H128" si="99">IF(F20="","",IFERROR($D128*SUM(F$61),""))</f>
        <v>0</v>
      </c>
      <c r="G128" s="748" t="str">
        <f t="shared" si="99"/>
        <v/>
      </c>
      <c r="H128" s="748" t="str">
        <f t="shared" si="99"/>
        <v/>
      </c>
      <c r="I128" s="748" t="str">
        <f t="shared" ref="I128:N128" si="100">IF(I20="","",IFERROR($D128*SUM(I$61),""))</f>
        <v/>
      </c>
      <c r="J128" s="748" t="str">
        <f t="shared" si="100"/>
        <v/>
      </c>
      <c r="K128" s="748" t="str">
        <f t="shared" si="100"/>
        <v/>
      </c>
      <c r="L128" s="748" t="str">
        <f t="shared" si="100"/>
        <v/>
      </c>
      <c r="M128" s="748" t="str">
        <f t="shared" si="100"/>
        <v/>
      </c>
      <c r="N128" s="748" t="str">
        <f t="shared" si="100"/>
        <v/>
      </c>
      <c r="O128" s="748" t="str">
        <f t="shared" ref="O128:AD128" si="101">IF(O20="","",IFERROR($D128*SUM(O$61),""))</f>
        <v/>
      </c>
      <c r="P128" s="748" t="str">
        <f t="shared" si="101"/>
        <v/>
      </c>
      <c r="Q128" s="748" t="str">
        <f t="shared" si="101"/>
        <v/>
      </c>
      <c r="R128" s="748" t="str">
        <f t="shared" si="101"/>
        <v/>
      </c>
      <c r="S128" s="748" t="str">
        <f t="shared" si="101"/>
        <v/>
      </c>
      <c r="T128" s="748" t="str">
        <f t="shared" si="101"/>
        <v/>
      </c>
      <c r="U128" s="748" t="str">
        <f t="shared" si="101"/>
        <v/>
      </c>
      <c r="V128" s="748" t="str">
        <f t="shared" si="101"/>
        <v/>
      </c>
      <c r="W128" s="748" t="str">
        <f t="shared" si="101"/>
        <v/>
      </c>
      <c r="X128" s="748" t="str">
        <f t="shared" si="101"/>
        <v/>
      </c>
      <c r="Y128" s="748" t="str">
        <f t="shared" si="101"/>
        <v/>
      </c>
      <c r="Z128" s="748" t="str">
        <f t="shared" si="101"/>
        <v/>
      </c>
      <c r="AA128" s="748" t="str">
        <f t="shared" si="101"/>
        <v/>
      </c>
      <c r="AB128" s="748" t="str">
        <f t="shared" si="101"/>
        <v/>
      </c>
      <c r="AC128" s="748" t="str">
        <f t="shared" si="101"/>
        <v/>
      </c>
      <c r="AD128" s="748" t="str">
        <f t="shared" si="101"/>
        <v/>
      </c>
    </row>
    <row r="129" spans="1:30" s="13" customFormat="1">
      <c r="A129" s="801"/>
      <c r="B129" s="595" t="s">
        <v>1</v>
      </c>
      <c r="C129" s="709" t="s">
        <v>238</v>
      </c>
      <c r="D129" s="744">
        <f>INDEX('Apoio - Notas Explicativas'!$Q:$Q,MATCH(C129,'Apoio - Notas Explicativas'!$C:$C,0))</f>
        <v>1.3899999999999999E-2</v>
      </c>
      <c r="E129" s="683">
        <f>IFERROR($D129*(E61+E66+E67),"")</f>
        <v>48.402236102879989</v>
      </c>
      <c r="F129" s="748">
        <f t="shared" ref="F129:H129" si="102">IFERROR($D129*(F61+F66+F67),"")</f>
        <v>58.698711782947193</v>
      </c>
      <c r="G129" s="748" t="str">
        <f t="shared" si="102"/>
        <v/>
      </c>
      <c r="H129" s="748" t="str">
        <f t="shared" si="102"/>
        <v/>
      </c>
      <c r="I129" s="748" t="str">
        <f t="shared" ref="I129:N129" si="103">IFERROR($D129*(I61+I66+I67),"")</f>
        <v/>
      </c>
      <c r="J129" s="748" t="str">
        <f t="shared" si="103"/>
        <v/>
      </c>
      <c r="K129" s="748" t="str">
        <f t="shared" si="103"/>
        <v/>
      </c>
      <c r="L129" s="748" t="str">
        <f t="shared" si="103"/>
        <v/>
      </c>
      <c r="M129" s="748" t="str">
        <f t="shared" si="103"/>
        <v/>
      </c>
      <c r="N129" s="748" t="str">
        <f t="shared" si="103"/>
        <v/>
      </c>
      <c r="O129" s="748" t="str">
        <f t="shared" ref="O129:AD129" si="104">IFERROR($D129*(O61+O66+O67),"")</f>
        <v/>
      </c>
      <c r="P129" s="748" t="str">
        <f t="shared" si="104"/>
        <v/>
      </c>
      <c r="Q129" s="748" t="str">
        <f t="shared" si="104"/>
        <v/>
      </c>
      <c r="R129" s="748" t="str">
        <f t="shared" si="104"/>
        <v/>
      </c>
      <c r="S129" s="748" t="str">
        <f t="shared" si="104"/>
        <v/>
      </c>
      <c r="T129" s="748" t="str">
        <f t="shared" si="104"/>
        <v/>
      </c>
      <c r="U129" s="748" t="str">
        <f t="shared" si="104"/>
        <v/>
      </c>
      <c r="V129" s="748" t="str">
        <f t="shared" si="104"/>
        <v/>
      </c>
      <c r="W129" s="748" t="str">
        <f t="shared" si="104"/>
        <v/>
      </c>
      <c r="X129" s="748" t="str">
        <f t="shared" si="104"/>
        <v/>
      </c>
      <c r="Y129" s="748" t="str">
        <f t="shared" si="104"/>
        <v/>
      </c>
      <c r="Z129" s="748" t="str">
        <f t="shared" si="104"/>
        <v/>
      </c>
      <c r="AA129" s="748" t="str">
        <f t="shared" si="104"/>
        <v/>
      </c>
      <c r="AB129" s="748" t="str">
        <f t="shared" si="104"/>
        <v/>
      </c>
      <c r="AC129" s="748" t="str">
        <f t="shared" si="104"/>
        <v/>
      </c>
      <c r="AD129" s="748" t="str">
        <f t="shared" si="104"/>
        <v/>
      </c>
    </row>
    <row r="130" spans="1:30" s="13" customFormat="1">
      <c r="A130" s="801"/>
      <c r="B130" s="595" t="s">
        <v>0</v>
      </c>
      <c r="C130" s="709" t="s">
        <v>37</v>
      </c>
      <c r="D130" s="744">
        <f>INDEX('Apoio - Notas Explicativas'!$Q:$Q,MATCH(C130,'Apoio - Notas Explicativas'!$C:$C,0))</f>
        <v>2.0000000000000001E-4</v>
      </c>
      <c r="E130" s="683">
        <f>IFERROR($D130*(E61+E66+E67),"")</f>
        <v>0.69643505183999987</v>
      </c>
      <c r="F130" s="748">
        <f t="shared" ref="F130:H130" si="105">IFERROR($D130*(F61+F66+F67),"")</f>
        <v>0.84458578104960003</v>
      </c>
      <c r="G130" s="748" t="str">
        <f t="shared" si="105"/>
        <v/>
      </c>
      <c r="H130" s="748" t="str">
        <f t="shared" si="105"/>
        <v/>
      </c>
      <c r="I130" s="748" t="str">
        <f t="shared" ref="I130:N130" si="106">IFERROR($D130*(I61+I66+I67),"")</f>
        <v/>
      </c>
      <c r="J130" s="748" t="str">
        <f t="shared" si="106"/>
        <v/>
      </c>
      <c r="K130" s="748" t="str">
        <f t="shared" si="106"/>
        <v/>
      </c>
      <c r="L130" s="748" t="str">
        <f t="shared" si="106"/>
        <v/>
      </c>
      <c r="M130" s="748" t="str">
        <f t="shared" si="106"/>
        <v/>
      </c>
      <c r="N130" s="748" t="str">
        <f t="shared" si="106"/>
        <v/>
      </c>
      <c r="O130" s="748" t="str">
        <f t="shared" ref="O130:AD130" si="107">IFERROR($D130*(O61+O66+O67),"")</f>
        <v/>
      </c>
      <c r="P130" s="748" t="str">
        <f t="shared" si="107"/>
        <v/>
      </c>
      <c r="Q130" s="748" t="str">
        <f t="shared" si="107"/>
        <v/>
      </c>
      <c r="R130" s="748" t="str">
        <f t="shared" si="107"/>
        <v/>
      </c>
      <c r="S130" s="748" t="str">
        <f t="shared" si="107"/>
        <v/>
      </c>
      <c r="T130" s="748" t="str">
        <f t="shared" si="107"/>
        <v/>
      </c>
      <c r="U130" s="748" t="str">
        <f t="shared" si="107"/>
        <v/>
      </c>
      <c r="V130" s="748" t="str">
        <f t="shared" si="107"/>
        <v/>
      </c>
      <c r="W130" s="748" t="str">
        <f t="shared" si="107"/>
        <v/>
      </c>
      <c r="X130" s="748" t="str">
        <f t="shared" si="107"/>
        <v/>
      </c>
      <c r="Y130" s="748" t="str">
        <f t="shared" si="107"/>
        <v/>
      </c>
      <c r="Z130" s="748" t="str">
        <f t="shared" si="107"/>
        <v/>
      </c>
      <c r="AA130" s="748" t="str">
        <f t="shared" si="107"/>
        <v/>
      </c>
      <c r="AB130" s="748" t="str">
        <f t="shared" si="107"/>
        <v/>
      </c>
      <c r="AC130" s="748" t="str">
        <f t="shared" si="107"/>
        <v/>
      </c>
      <c r="AD130" s="748" t="str">
        <f t="shared" si="107"/>
        <v/>
      </c>
    </row>
    <row r="131" spans="1:30" s="13" customFormat="1">
      <c r="A131" s="801"/>
      <c r="B131" s="595" t="s">
        <v>3</v>
      </c>
      <c r="C131" s="709" t="s">
        <v>38</v>
      </c>
      <c r="D131" s="744">
        <f>INDEX('Apoio - Notas Explicativas'!$Q:$Q,MATCH(C131,'Apoio - Notas Explicativas'!$C:$C,0))</f>
        <v>8.2000000000000007E-3</v>
      </c>
      <c r="E131" s="683">
        <f>IFERROR($D131*(E61+E66+E67),"")</f>
        <v>28.553837125439998</v>
      </c>
      <c r="F131" s="748">
        <f t="shared" ref="F131:H131" si="108">IFERROR($D131*(F61+F66+F67),"")</f>
        <v>34.6280170230336</v>
      </c>
      <c r="G131" s="748" t="str">
        <f t="shared" si="108"/>
        <v/>
      </c>
      <c r="H131" s="748" t="str">
        <f t="shared" si="108"/>
        <v/>
      </c>
      <c r="I131" s="748" t="str">
        <f t="shared" ref="I131:N131" si="109">IFERROR($D131*(I61+I66+I67),"")</f>
        <v/>
      </c>
      <c r="J131" s="748" t="str">
        <f t="shared" si="109"/>
        <v/>
      </c>
      <c r="K131" s="748" t="str">
        <f t="shared" si="109"/>
        <v/>
      </c>
      <c r="L131" s="748" t="str">
        <f t="shared" si="109"/>
        <v/>
      </c>
      <c r="M131" s="748" t="str">
        <f t="shared" si="109"/>
        <v/>
      </c>
      <c r="N131" s="748" t="str">
        <f t="shared" si="109"/>
        <v/>
      </c>
      <c r="O131" s="748" t="str">
        <f t="shared" ref="O131:AD131" si="110">IFERROR($D131*(O61+O66+O67),"")</f>
        <v/>
      </c>
      <c r="P131" s="748" t="str">
        <f t="shared" si="110"/>
        <v/>
      </c>
      <c r="Q131" s="748" t="str">
        <f t="shared" si="110"/>
        <v/>
      </c>
      <c r="R131" s="748" t="str">
        <f t="shared" si="110"/>
        <v/>
      </c>
      <c r="S131" s="748" t="str">
        <f t="shared" si="110"/>
        <v/>
      </c>
      <c r="T131" s="748" t="str">
        <f t="shared" si="110"/>
        <v/>
      </c>
      <c r="U131" s="748" t="str">
        <f t="shared" si="110"/>
        <v/>
      </c>
      <c r="V131" s="748" t="str">
        <f t="shared" si="110"/>
        <v/>
      </c>
      <c r="W131" s="748" t="str">
        <f t="shared" si="110"/>
        <v/>
      </c>
      <c r="X131" s="748" t="str">
        <f t="shared" si="110"/>
        <v/>
      </c>
      <c r="Y131" s="748" t="str">
        <f t="shared" si="110"/>
        <v/>
      </c>
      <c r="Z131" s="748" t="str">
        <f t="shared" si="110"/>
        <v/>
      </c>
      <c r="AA131" s="748" t="str">
        <f t="shared" si="110"/>
        <v/>
      </c>
      <c r="AB131" s="748" t="str">
        <f t="shared" si="110"/>
        <v/>
      </c>
      <c r="AC131" s="748" t="str">
        <f t="shared" si="110"/>
        <v/>
      </c>
      <c r="AD131" s="748" t="str">
        <f t="shared" si="110"/>
        <v/>
      </c>
    </row>
    <row r="132" spans="1:30" s="13" customFormat="1">
      <c r="A132" s="801"/>
      <c r="B132" s="595" t="s">
        <v>7</v>
      </c>
      <c r="C132" s="709" t="s">
        <v>239</v>
      </c>
      <c r="D132" s="744">
        <f>INDEX('Apoio - Notas Explicativas'!$Q:$Q,MATCH(C132,'Apoio - Notas Explicativas'!$C:$C,0))</f>
        <v>2.9999999999999997E-4</v>
      </c>
      <c r="E132" s="683">
        <f>IFERROR($D132*(E61+E66+E67),"")</f>
        <v>1.0446525777599998</v>
      </c>
      <c r="F132" s="748">
        <f t="shared" ref="F132:H132" si="111">IFERROR($D132*(F61+F66+F67),"")</f>
        <v>1.2668786715743998</v>
      </c>
      <c r="G132" s="748" t="str">
        <f t="shared" si="111"/>
        <v/>
      </c>
      <c r="H132" s="748" t="str">
        <f t="shared" si="111"/>
        <v/>
      </c>
      <c r="I132" s="748" t="str">
        <f t="shared" ref="I132:N132" si="112">IFERROR($D132*(I61+I66+I67),"")</f>
        <v/>
      </c>
      <c r="J132" s="748" t="str">
        <f t="shared" si="112"/>
        <v/>
      </c>
      <c r="K132" s="748" t="str">
        <f t="shared" si="112"/>
        <v/>
      </c>
      <c r="L132" s="748" t="str">
        <f t="shared" si="112"/>
        <v/>
      </c>
      <c r="M132" s="748" t="str">
        <f t="shared" si="112"/>
        <v/>
      </c>
      <c r="N132" s="748" t="str">
        <f t="shared" si="112"/>
        <v/>
      </c>
      <c r="O132" s="748" t="str">
        <f t="shared" ref="O132:AD132" si="113">IFERROR($D132*(O61+O66+O67),"")</f>
        <v/>
      </c>
      <c r="P132" s="748" t="str">
        <f t="shared" si="113"/>
        <v/>
      </c>
      <c r="Q132" s="748" t="str">
        <f t="shared" si="113"/>
        <v/>
      </c>
      <c r="R132" s="748" t="str">
        <f t="shared" si="113"/>
        <v/>
      </c>
      <c r="S132" s="748" t="str">
        <f t="shared" si="113"/>
        <v/>
      </c>
      <c r="T132" s="748" t="str">
        <f t="shared" si="113"/>
        <v/>
      </c>
      <c r="U132" s="748" t="str">
        <f t="shared" si="113"/>
        <v/>
      </c>
      <c r="V132" s="748" t="str">
        <f t="shared" si="113"/>
        <v/>
      </c>
      <c r="W132" s="748" t="str">
        <f t="shared" si="113"/>
        <v/>
      </c>
      <c r="X132" s="748" t="str">
        <f t="shared" si="113"/>
        <v/>
      </c>
      <c r="Y132" s="748" t="str">
        <f t="shared" si="113"/>
        <v/>
      </c>
      <c r="Z132" s="748" t="str">
        <f t="shared" si="113"/>
        <v/>
      </c>
      <c r="AA132" s="748" t="str">
        <f t="shared" si="113"/>
        <v/>
      </c>
      <c r="AB132" s="748" t="str">
        <f t="shared" si="113"/>
        <v/>
      </c>
      <c r="AC132" s="748" t="str">
        <f t="shared" si="113"/>
        <v/>
      </c>
      <c r="AD132" s="748" t="str">
        <f t="shared" si="113"/>
        <v/>
      </c>
    </row>
    <row r="133" spans="1:30" s="13" customFormat="1">
      <c r="A133" s="801"/>
      <c r="B133" s="595" t="s">
        <v>6</v>
      </c>
      <c r="C133" s="709" t="s">
        <v>39</v>
      </c>
      <c r="D133" s="744">
        <v>0</v>
      </c>
      <c r="E133" s="683">
        <f>IFERROR((E$61+E67)*$D$133,"")</f>
        <v>0</v>
      </c>
      <c r="F133" s="748">
        <f t="shared" ref="F133:H133" si="114">IFERROR((F$61+F67)*$D$133,"")</f>
        <v>0</v>
      </c>
      <c r="G133" s="748" t="str">
        <f t="shared" si="114"/>
        <v/>
      </c>
      <c r="H133" s="748" t="str">
        <f t="shared" si="114"/>
        <v/>
      </c>
      <c r="I133" s="748" t="str">
        <f t="shared" ref="I133:N133" si="115">IFERROR((I$61+I67)*$D$133,"")</f>
        <v/>
      </c>
      <c r="J133" s="748" t="str">
        <f t="shared" si="115"/>
        <v/>
      </c>
      <c r="K133" s="748" t="str">
        <f t="shared" si="115"/>
        <v/>
      </c>
      <c r="L133" s="748" t="str">
        <f t="shared" si="115"/>
        <v/>
      </c>
      <c r="M133" s="748" t="str">
        <f t="shared" si="115"/>
        <v/>
      </c>
      <c r="N133" s="748" t="str">
        <f t="shared" si="115"/>
        <v/>
      </c>
      <c r="O133" s="748" t="str">
        <f t="shared" ref="O133:AD133" si="116">IFERROR((O$61+O67)*$D$133,"")</f>
        <v/>
      </c>
      <c r="P133" s="748" t="str">
        <f t="shared" si="116"/>
        <v/>
      </c>
      <c r="Q133" s="748" t="str">
        <f t="shared" si="116"/>
        <v/>
      </c>
      <c r="R133" s="748" t="str">
        <f t="shared" si="116"/>
        <v/>
      </c>
      <c r="S133" s="748" t="str">
        <f t="shared" si="116"/>
        <v/>
      </c>
      <c r="T133" s="748" t="str">
        <f t="shared" si="116"/>
        <v/>
      </c>
      <c r="U133" s="748" t="str">
        <f t="shared" si="116"/>
        <v/>
      </c>
      <c r="V133" s="748" t="str">
        <f t="shared" si="116"/>
        <v/>
      </c>
      <c r="W133" s="748" t="str">
        <f t="shared" si="116"/>
        <v/>
      </c>
      <c r="X133" s="748" t="str">
        <f t="shared" si="116"/>
        <v/>
      </c>
      <c r="Y133" s="748" t="str">
        <f t="shared" si="116"/>
        <v/>
      </c>
      <c r="Z133" s="748" t="str">
        <f t="shared" si="116"/>
        <v/>
      </c>
      <c r="AA133" s="748" t="str">
        <f t="shared" si="116"/>
        <v/>
      </c>
      <c r="AB133" s="748" t="str">
        <f t="shared" si="116"/>
        <v/>
      </c>
      <c r="AC133" s="748" t="str">
        <f t="shared" si="116"/>
        <v/>
      </c>
      <c r="AD133" s="748" t="str">
        <f t="shared" si="116"/>
        <v/>
      </c>
    </row>
    <row r="134" spans="1:30" s="13" customFormat="1">
      <c r="A134" s="801"/>
      <c r="B134" s="595" t="s">
        <v>5</v>
      </c>
      <c r="C134" s="709" t="s">
        <v>94</v>
      </c>
      <c r="D134" s="744">
        <f>SUM(D128:D133)*SUM(D81:D82,D72:D77)</f>
        <v>7.5710000000000013E-3</v>
      </c>
      <c r="E134" s="683">
        <f>IF(E18="","",SUM(E128:E133)*SUM($D$72:$D$77,$D$81:$D$82))</f>
        <v>26.363548887403198</v>
      </c>
      <c r="F134" s="748">
        <f t="shared" ref="F134:H134" si="117">IF(F18="","",SUM(F128:F133)*SUM($D$72:$D$77,$D$81:$D$82))</f>
        <v>31.971794741632603</v>
      </c>
      <c r="G134" s="748" t="str">
        <f t="shared" si="117"/>
        <v/>
      </c>
      <c r="H134" s="748" t="str">
        <f t="shared" si="117"/>
        <v/>
      </c>
      <c r="I134" s="748" t="str">
        <f t="shared" ref="I134:N134" si="118">IF(I18="","",SUM(I128:I133)*SUM($D$72:$D$77,$D$81:$D$82))</f>
        <v/>
      </c>
      <c r="J134" s="748" t="str">
        <f t="shared" si="118"/>
        <v/>
      </c>
      <c r="K134" s="748" t="str">
        <f t="shared" si="118"/>
        <v/>
      </c>
      <c r="L134" s="748" t="str">
        <f t="shared" si="118"/>
        <v/>
      </c>
      <c r="M134" s="748" t="str">
        <f t="shared" si="118"/>
        <v/>
      </c>
      <c r="N134" s="748" t="str">
        <f t="shared" si="118"/>
        <v/>
      </c>
      <c r="O134" s="748" t="str">
        <f t="shared" ref="O134:AD134" si="119">IF(O18="","",SUM(O128:O133)*SUM($D$72:$D$77,$D$81:$D$82))</f>
        <v/>
      </c>
      <c r="P134" s="748" t="str">
        <f t="shared" si="119"/>
        <v/>
      </c>
      <c r="Q134" s="748" t="str">
        <f t="shared" si="119"/>
        <v/>
      </c>
      <c r="R134" s="748" t="str">
        <f t="shared" si="119"/>
        <v/>
      </c>
      <c r="S134" s="748" t="str">
        <f t="shared" si="119"/>
        <v/>
      </c>
      <c r="T134" s="748" t="str">
        <f t="shared" si="119"/>
        <v/>
      </c>
      <c r="U134" s="748" t="str">
        <f t="shared" si="119"/>
        <v/>
      </c>
      <c r="V134" s="748" t="str">
        <f t="shared" si="119"/>
        <v/>
      </c>
      <c r="W134" s="748" t="str">
        <f t="shared" si="119"/>
        <v/>
      </c>
      <c r="X134" s="748" t="str">
        <f t="shared" si="119"/>
        <v/>
      </c>
      <c r="Y134" s="748" t="str">
        <f t="shared" si="119"/>
        <v/>
      </c>
      <c r="Z134" s="748" t="str">
        <f t="shared" si="119"/>
        <v/>
      </c>
      <c r="AA134" s="748" t="str">
        <f t="shared" si="119"/>
        <v/>
      </c>
      <c r="AB134" s="748" t="str">
        <f t="shared" si="119"/>
        <v/>
      </c>
      <c r="AC134" s="748" t="str">
        <f t="shared" si="119"/>
        <v/>
      </c>
      <c r="AD134" s="748" t="str">
        <f t="shared" si="119"/>
        <v/>
      </c>
    </row>
    <row r="135" spans="1:30" s="13" customFormat="1">
      <c r="A135" s="801"/>
      <c r="B135" s="595" t="s">
        <v>4</v>
      </c>
      <c r="C135" s="709" t="s">
        <v>91</v>
      </c>
      <c r="D135" s="802">
        <f>INDEX('Apoio - Notas Explicativas'!$Q:$Q,MATCH(C135,'Apoio - Notas Explicativas'!$C:$C,0))</f>
        <v>37.96</v>
      </c>
      <c r="E135" s="683">
        <f>IFERROR(((E112-SUM(E91,E96))/(30*12))*$D$135,"")</f>
        <v>0</v>
      </c>
      <c r="F135" s="748">
        <f t="shared" ref="F135:H135" si="120">IFERROR(((F112-SUM(F91,F96))/(30*12))*$D$135,"")</f>
        <v>0</v>
      </c>
      <c r="G135" s="748" t="str">
        <f t="shared" si="120"/>
        <v/>
      </c>
      <c r="H135" s="748" t="str">
        <f t="shared" si="120"/>
        <v/>
      </c>
      <c r="I135" s="748" t="str">
        <f t="shared" ref="I135:N135" si="121">IFERROR(((I112-SUM(I91,I96))/(30*12))*$D$135,"")</f>
        <v/>
      </c>
      <c r="J135" s="748" t="str">
        <f t="shared" si="121"/>
        <v/>
      </c>
      <c r="K135" s="748" t="str">
        <f t="shared" si="121"/>
        <v/>
      </c>
      <c r="L135" s="748" t="str">
        <f t="shared" si="121"/>
        <v/>
      </c>
      <c r="M135" s="748" t="str">
        <f t="shared" si="121"/>
        <v/>
      </c>
      <c r="N135" s="748" t="str">
        <f t="shared" si="121"/>
        <v/>
      </c>
      <c r="O135" s="748" t="str">
        <f t="shared" ref="O135:AD135" si="122">IFERROR(((O112-SUM(O91,O96))/(30*12))*$D$135,"")</f>
        <v/>
      </c>
      <c r="P135" s="748" t="str">
        <f t="shared" si="122"/>
        <v/>
      </c>
      <c r="Q135" s="748" t="str">
        <f t="shared" si="122"/>
        <v/>
      </c>
      <c r="R135" s="748" t="str">
        <f t="shared" si="122"/>
        <v/>
      </c>
      <c r="S135" s="748" t="str">
        <f t="shared" si="122"/>
        <v/>
      </c>
      <c r="T135" s="748" t="str">
        <f t="shared" si="122"/>
        <v/>
      </c>
      <c r="U135" s="748" t="str">
        <f t="shared" si="122"/>
        <v/>
      </c>
      <c r="V135" s="748" t="str">
        <f t="shared" si="122"/>
        <v/>
      </c>
      <c r="W135" s="748" t="str">
        <f t="shared" si="122"/>
        <v/>
      </c>
      <c r="X135" s="748" t="str">
        <f t="shared" si="122"/>
        <v/>
      </c>
      <c r="Y135" s="748" t="str">
        <f t="shared" si="122"/>
        <v/>
      </c>
      <c r="Z135" s="748" t="str">
        <f t="shared" si="122"/>
        <v/>
      </c>
      <c r="AA135" s="748" t="str">
        <f t="shared" si="122"/>
        <v/>
      </c>
      <c r="AB135" s="748" t="str">
        <f t="shared" si="122"/>
        <v/>
      </c>
      <c r="AC135" s="748" t="str">
        <f t="shared" si="122"/>
        <v/>
      </c>
      <c r="AD135" s="748" t="str">
        <f t="shared" si="122"/>
        <v/>
      </c>
    </row>
    <row r="136" spans="1:30" s="13" customFormat="1">
      <c r="A136" s="801"/>
      <c r="B136" s="595" t="s">
        <v>141</v>
      </c>
      <c r="C136" s="709" t="s">
        <v>40</v>
      </c>
      <c r="D136" s="802">
        <v>0</v>
      </c>
      <c r="E136" s="683" t="str">
        <f>IFERROR(((((E$123/12)*$D$136))/30),"")</f>
        <v/>
      </c>
      <c r="F136" s="748" t="str">
        <f t="shared" ref="F136:AD136" si="123">IFERROR(((((F$123/12)*$D$136))/30),"")</f>
        <v/>
      </c>
      <c r="G136" s="748" t="str">
        <f t="shared" si="123"/>
        <v/>
      </c>
      <c r="H136" s="748" t="str">
        <f t="shared" si="123"/>
        <v/>
      </c>
      <c r="I136" s="748" t="str">
        <f t="shared" si="123"/>
        <v/>
      </c>
      <c r="J136" s="748" t="str">
        <f t="shared" si="123"/>
        <v/>
      </c>
      <c r="K136" s="748" t="str">
        <f t="shared" si="123"/>
        <v/>
      </c>
      <c r="L136" s="748" t="str">
        <f t="shared" si="123"/>
        <v/>
      </c>
      <c r="M136" s="748" t="str">
        <f t="shared" si="123"/>
        <v/>
      </c>
      <c r="N136" s="748" t="str">
        <f t="shared" si="123"/>
        <v/>
      </c>
      <c r="O136" s="748" t="str">
        <f t="shared" si="123"/>
        <v/>
      </c>
      <c r="P136" s="748" t="str">
        <f t="shared" si="123"/>
        <v/>
      </c>
      <c r="Q136" s="748" t="str">
        <f t="shared" si="123"/>
        <v/>
      </c>
      <c r="R136" s="748" t="str">
        <f t="shared" si="123"/>
        <v/>
      </c>
      <c r="S136" s="748" t="str">
        <f t="shared" si="123"/>
        <v/>
      </c>
      <c r="T136" s="748" t="str">
        <f t="shared" si="123"/>
        <v/>
      </c>
      <c r="U136" s="748" t="str">
        <f t="shared" si="123"/>
        <v/>
      </c>
      <c r="V136" s="748" t="str">
        <f t="shared" si="123"/>
        <v/>
      </c>
      <c r="W136" s="748" t="str">
        <f t="shared" si="123"/>
        <v/>
      </c>
      <c r="X136" s="748" t="str">
        <f t="shared" si="123"/>
        <v/>
      </c>
      <c r="Y136" s="748" t="str">
        <f t="shared" si="123"/>
        <v/>
      </c>
      <c r="Z136" s="748" t="str">
        <f t="shared" si="123"/>
        <v/>
      </c>
      <c r="AA136" s="748" t="str">
        <f t="shared" si="123"/>
        <v/>
      </c>
      <c r="AB136" s="748" t="str">
        <f t="shared" si="123"/>
        <v/>
      </c>
      <c r="AC136" s="748" t="str">
        <f t="shared" si="123"/>
        <v/>
      </c>
      <c r="AD136" s="748" t="str">
        <f t="shared" si="123"/>
        <v/>
      </c>
    </row>
    <row r="137" spans="1:30" s="5" customFormat="1">
      <c r="A137" s="746"/>
      <c r="B137" s="538"/>
      <c r="C137" s="539" t="s">
        <v>148</v>
      </c>
      <c r="D137" s="747"/>
      <c r="E137" s="742">
        <f>IF(SUM(E128:E136)=0,"",SUM(E128:E136))</f>
        <v>105.06070974532319</v>
      </c>
      <c r="F137" s="743">
        <f t="shared" ref="F137:H137" si="124">IF(SUM(F128:F136)=0,"",SUM(F128:F136))</f>
        <v>127.40998800023741</v>
      </c>
      <c r="G137" s="742" t="str">
        <f t="shared" si="124"/>
        <v/>
      </c>
      <c r="H137" s="743" t="str">
        <f t="shared" si="124"/>
        <v/>
      </c>
      <c r="I137" s="743" t="str">
        <f t="shared" ref="I137:N137" si="125">IF(SUM(I128:I136)=0,"",SUM(I128:I136))</f>
        <v/>
      </c>
      <c r="J137" s="743" t="str">
        <f t="shared" si="125"/>
        <v/>
      </c>
      <c r="K137" s="743" t="str">
        <f t="shared" si="125"/>
        <v/>
      </c>
      <c r="L137" s="743" t="str">
        <f t="shared" si="125"/>
        <v/>
      </c>
      <c r="M137" s="743" t="str">
        <f t="shared" si="125"/>
        <v/>
      </c>
      <c r="N137" s="743" t="str">
        <f t="shared" si="125"/>
        <v/>
      </c>
      <c r="O137" s="743" t="str">
        <f t="shared" ref="O137:AD137" si="126">IF(SUM(O128:O136)=0,"",SUM(O128:O136))</f>
        <v/>
      </c>
      <c r="P137" s="743" t="str">
        <f t="shared" si="126"/>
        <v/>
      </c>
      <c r="Q137" s="743" t="str">
        <f t="shared" si="126"/>
        <v/>
      </c>
      <c r="R137" s="743" t="str">
        <f t="shared" si="126"/>
        <v/>
      </c>
      <c r="S137" s="743" t="str">
        <f t="shared" si="126"/>
        <v/>
      </c>
      <c r="T137" s="743" t="str">
        <f t="shared" si="126"/>
        <v/>
      </c>
      <c r="U137" s="743" t="str">
        <f t="shared" si="126"/>
        <v/>
      </c>
      <c r="V137" s="743" t="str">
        <f t="shared" si="126"/>
        <v/>
      </c>
      <c r="W137" s="743" t="str">
        <f t="shared" si="126"/>
        <v/>
      </c>
      <c r="X137" s="743" t="str">
        <f t="shared" si="126"/>
        <v/>
      </c>
      <c r="Y137" s="743" t="str">
        <f t="shared" si="126"/>
        <v/>
      </c>
      <c r="Z137" s="743" t="str">
        <f t="shared" si="126"/>
        <v/>
      </c>
      <c r="AA137" s="743" t="str">
        <f t="shared" si="126"/>
        <v/>
      </c>
      <c r="AB137" s="743" t="str">
        <f t="shared" si="126"/>
        <v/>
      </c>
      <c r="AC137" s="743" t="str">
        <f t="shared" si="126"/>
        <v/>
      </c>
      <c r="AD137" s="743" t="str">
        <f t="shared" si="126"/>
        <v/>
      </c>
    </row>
    <row r="138" spans="1:30" customFormat="1"/>
    <row r="139" spans="1:30" s="6" customFormat="1">
      <c r="A139" s="740"/>
      <c r="B139" s="538"/>
      <c r="C139" s="539" t="s">
        <v>434</v>
      </c>
      <c r="D139" s="741"/>
      <c r="E139" s="742"/>
      <c r="F139" s="742"/>
      <c r="G139" s="742"/>
      <c r="H139" s="742"/>
      <c r="I139" s="742"/>
      <c r="J139" s="742"/>
      <c r="K139" s="742"/>
      <c r="L139" s="742"/>
      <c r="M139" s="742"/>
      <c r="N139" s="742"/>
      <c r="O139" s="742"/>
      <c r="P139" s="742"/>
      <c r="Q139" s="742"/>
      <c r="R139" s="742"/>
      <c r="S139" s="742"/>
      <c r="T139" s="742"/>
      <c r="U139" s="742"/>
      <c r="V139" s="742"/>
      <c r="W139" s="742"/>
      <c r="X139" s="742"/>
      <c r="Y139" s="742"/>
      <c r="Z139" s="742"/>
      <c r="AA139" s="742"/>
      <c r="AB139" s="742"/>
      <c r="AC139" s="742"/>
      <c r="AD139" s="742"/>
    </row>
    <row r="140" spans="1:30" s="13" customFormat="1">
      <c r="A140" s="803"/>
      <c r="B140" s="862" t="s">
        <v>2</v>
      </c>
      <c r="C140" s="711" t="s">
        <v>399</v>
      </c>
      <c r="D140" s="782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</row>
    <row r="141" spans="1:30" s="13" customFormat="1">
      <c r="A141" s="803"/>
      <c r="B141" s="863"/>
      <c r="C141" s="713" t="s">
        <v>362</v>
      </c>
      <c r="D141" s="804"/>
      <c r="E141" s="805" t="s">
        <v>618</v>
      </c>
      <c r="F141" s="805" t="s">
        <v>618</v>
      </c>
      <c r="G141" s="805"/>
      <c r="H141" s="805"/>
      <c r="I141" s="805"/>
      <c r="J141" s="805"/>
      <c r="K141" s="805"/>
      <c r="L141" s="805"/>
      <c r="M141" s="805"/>
      <c r="N141" s="805"/>
      <c r="O141" s="805"/>
      <c r="P141" s="805"/>
      <c r="Q141" s="805"/>
      <c r="R141" s="805"/>
      <c r="S141" s="805"/>
      <c r="T141" s="805"/>
      <c r="U141" s="805"/>
      <c r="V141" s="805"/>
      <c r="W141" s="805"/>
      <c r="X141" s="805"/>
      <c r="Y141" s="805"/>
      <c r="Z141" s="805"/>
      <c r="AA141" s="805"/>
      <c r="AB141" s="805"/>
      <c r="AC141" s="805"/>
      <c r="AD141" s="805"/>
    </row>
    <row r="142" spans="1:30" s="13" customFormat="1">
      <c r="A142" s="803"/>
      <c r="B142" s="864"/>
      <c r="C142" s="218"/>
      <c r="D142" s="806" t="s">
        <v>43</v>
      </c>
      <c r="E142" s="204">
        <f>IF(E141="Rendição",(((SUM(E61,E$83,E$112,E148)/VLOOKUP(E$26,'Apoio - Regime de Trabalho'!$A:$I,8,FALSE)))*VLOOKUP(E$26,'Apoio - Regime de Trabalho'!$A:$I,7,FALSE)),
IF(E141="Não",0,
IF(E141="Indenização",(((SUM(E32,E42)/VLOOKUP(E$26,'Apoio - Regime de Trabalho'!$A:$I,8,FALSE))*1.5)*VLOOKUP(E$26,'Apoio - Regime de Trabalho'!$A:$I,7,FALSE)),"")))</f>
        <v>0</v>
      </c>
      <c r="F142" s="204">
        <f>IF(F141="Rendição",(((SUM(F61,F$83,F$112,F148)/VLOOKUP(F$26,'Apoio - Regime de Trabalho'!$A:$I,8,FALSE)))*VLOOKUP(F$26,'Apoio - Regime de Trabalho'!$A:$I,7,FALSE)),
IF(F141="Não",0,
IF(F141="Indenização",(((SUM(F32,F42)/VLOOKUP(F$26,'Apoio - Regime de Trabalho'!$A:$I,8,FALSE))*1.5)*VLOOKUP(F$26,'Apoio - Regime de Trabalho'!$A:$I,7,FALSE)),"")))</f>
        <v>0</v>
      </c>
      <c r="G142" s="204" t="str">
        <f>IF(G141="Rendição",(((SUM(G61,G$83,G$112,G148)/VLOOKUP(G$26,'Apoio - Regime de Trabalho'!$A:$I,8,FALSE)))*VLOOKUP(G$26,'Apoio - Regime de Trabalho'!$A:$I,7,FALSE)),
IF(G141="Não",0,
IF(G141="Indenização",(((SUM(G32,G42)/VLOOKUP(G$26,'Apoio - Regime de Trabalho'!$A:$I,8,FALSE))*1.5)*VLOOKUP(G$26,'Apoio - Regime de Trabalho'!$A:$I,7,FALSE)),"")))</f>
        <v/>
      </c>
      <c r="H142" s="204" t="str">
        <f>IF(H141="Rendição",(((SUM(H61,H$83,H$112,H148)/VLOOKUP(H$26,'Apoio - Regime de Trabalho'!$A:$I,8,FALSE)))*VLOOKUP(H$26,'Apoio - Regime de Trabalho'!$A:$I,7,FALSE)),
IF(H141="Não",0,
IF(H141="Indenização",(((SUM(H32,H42)/VLOOKUP(H$26,'Apoio - Regime de Trabalho'!$A:$I,8,FALSE))*1.5)*VLOOKUP(H$26,'Apoio - Regime de Trabalho'!$A:$I,7,FALSE)),"")))</f>
        <v/>
      </c>
      <c r="I142" s="204" t="str">
        <f>IF(I141="Rendição",(((SUM(I61,I$83,I$112,I148)/VLOOKUP(I$26,'Apoio - Regime de Trabalho'!$A:$I,8,FALSE)))*VLOOKUP(I$26,'Apoio - Regime de Trabalho'!$A:$I,7,FALSE)),
IF(I141="Não",0,
IF(I141="Indenização",(((SUM(I32,I42)/VLOOKUP(I$26,'Apoio - Regime de Trabalho'!$A:$I,8,FALSE))*1.5)*VLOOKUP(I$26,'Apoio - Regime de Trabalho'!$A:$I,7,FALSE)),"")))</f>
        <v/>
      </c>
      <c r="J142" s="204" t="str">
        <f>IF(J141="Rendição",(((SUM(J61,J$83,J$112,J148)/VLOOKUP(J$26,'Apoio - Regime de Trabalho'!$A:$I,8,FALSE)))*VLOOKUP(J$26,'Apoio - Regime de Trabalho'!$A:$I,7,FALSE)),
IF(J141="Não",0,
IF(J141="Indenização",(((SUM(J32,J42)/VLOOKUP(J$26,'Apoio - Regime de Trabalho'!$A:$I,8,FALSE))*1.5)*VLOOKUP(J$26,'Apoio - Regime de Trabalho'!$A:$I,7,FALSE)),"")))</f>
        <v/>
      </c>
      <c r="K142" s="204" t="str">
        <f>IF(K141="Rendição",(((SUM(K61,K$83,K$112,K148)/VLOOKUP(K$26,'Apoio - Regime de Trabalho'!$A:$I,8,FALSE)))*VLOOKUP(K$26,'Apoio - Regime de Trabalho'!$A:$I,7,FALSE)),
IF(K141="Não",0,
IF(K141="Indenização",(((SUM(K32,K42)/VLOOKUP(K$26,'Apoio - Regime de Trabalho'!$A:$I,8,FALSE))*1.5)*VLOOKUP(K$26,'Apoio - Regime de Trabalho'!$A:$I,7,FALSE)),"")))</f>
        <v/>
      </c>
      <c r="L142" s="204" t="str">
        <f>IF(L141="Rendição",(((SUM(L61,L$83,L$112,L148)/VLOOKUP(L$26,'Apoio - Regime de Trabalho'!$A:$I,8,FALSE)))*VLOOKUP(L$26,'Apoio - Regime de Trabalho'!$A:$I,7,FALSE)),
IF(L141="Não",0,
IF(L141="Indenização",(((SUM(L32,L42)/VLOOKUP(L$26,'Apoio - Regime de Trabalho'!$A:$I,8,FALSE))*1.5)*VLOOKUP(L$26,'Apoio - Regime de Trabalho'!$A:$I,7,FALSE)),"")))</f>
        <v/>
      </c>
      <c r="M142" s="204" t="str">
        <f>IF(M141="Rendição",(((SUM(M61,M$83,M$112,M148)/VLOOKUP(M$26,'Apoio - Regime de Trabalho'!$A:$I,8,FALSE)))*VLOOKUP(M$26,'Apoio - Regime de Trabalho'!$A:$I,7,FALSE)),
IF(M141="Não",0,
IF(M141="Indenização",(((SUM(M32,M42)/VLOOKUP(M$26,'Apoio - Regime de Trabalho'!$A:$I,8,FALSE))*1.5)*VLOOKUP(M$26,'Apoio - Regime de Trabalho'!$A:$I,7,FALSE)),"")))</f>
        <v/>
      </c>
      <c r="N142" s="204" t="str">
        <f>IF(N141="Rendição",(((SUM(N61,N$83,N$112,N148)/VLOOKUP(N$26,'Apoio - Regime de Trabalho'!$A:$I,8,FALSE)))*VLOOKUP(N$26,'Apoio - Regime de Trabalho'!$A:$I,7,FALSE)),
IF(N141="Não",0,
IF(N141="Indenização",(((SUM(N32,N42)/VLOOKUP(N$26,'Apoio - Regime de Trabalho'!$A:$I,8,FALSE))*1.5)*VLOOKUP(N$26,'Apoio - Regime de Trabalho'!$A:$I,7,FALSE)),"")))</f>
        <v/>
      </c>
      <c r="O142" s="204" t="str">
        <f>IF(O141="Rendição",(((SUM(O61,O$83,O$112,O148)/VLOOKUP(O$26,'Apoio - Regime de Trabalho'!$A:$I,8,FALSE)))*VLOOKUP(O$26,'Apoio - Regime de Trabalho'!$A:$I,7,FALSE)),
IF(O141="Não",0,
IF(O141="Indenização",(((SUM(O32,O42)/VLOOKUP(O$26,'Apoio - Regime de Trabalho'!$A:$I,8,FALSE))*1.5)*VLOOKUP(O$26,'Apoio - Regime de Trabalho'!$A:$I,7,FALSE)),"")))</f>
        <v/>
      </c>
      <c r="P142" s="204" t="str">
        <f>IF(P141="Rendição",(((SUM(P61,P$83,P$112,P148)/VLOOKUP(P$26,'Apoio - Regime de Trabalho'!$A:$I,8,FALSE)))*VLOOKUP(P$26,'Apoio - Regime de Trabalho'!$A:$I,7,FALSE)),
IF(P141="Não",0,
IF(P141="Indenização",(((SUM(P32,P42)/VLOOKUP(P$26,'Apoio - Regime de Trabalho'!$A:$I,8,FALSE))*1.5)*VLOOKUP(P$26,'Apoio - Regime de Trabalho'!$A:$I,7,FALSE)),"")))</f>
        <v/>
      </c>
      <c r="Q142" s="204" t="str">
        <f>IF(Q141="Rendição",(((SUM(Q61,Q$83,Q$112,Q148)/VLOOKUP(Q$26,'Apoio - Regime de Trabalho'!$A:$I,8,FALSE)))*VLOOKUP(Q$26,'Apoio - Regime de Trabalho'!$A:$I,7,FALSE)),
IF(Q141="Não",0,
IF(Q141="Indenização",(((SUM(Q32,Q42)/VLOOKUP(Q$26,'Apoio - Regime de Trabalho'!$A:$I,8,FALSE))*1.5)*VLOOKUP(Q$26,'Apoio - Regime de Trabalho'!$A:$I,7,FALSE)),"")))</f>
        <v/>
      </c>
      <c r="R142" s="204" t="str">
        <f>IF(R141="Rendição",(((SUM(R61,R$83,R$112,R148)/VLOOKUP(R$26,'Apoio - Regime de Trabalho'!$A:$I,8,FALSE)))*VLOOKUP(R$26,'Apoio - Regime de Trabalho'!$A:$I,7,FALSE)),
IF(R141="Não",0,
IF(R141="Indenização",(((SUM(R32,R42)/VLOOKUP(R$26,'Apoio - Regime de Trabalho'!$A:$I,8,FALSE))*1.5)*VLOOKUP(R$26,'Apoio - Regime de Trabalho'!$A:$I,7,FALSE)),"")))</f>
        <v/>
      </c>
      <c r="S142" s="204" t="str">
        <f>IF(S141="Rendição",(((SUM(S61,S$83,S$112,S148)/VLOOKUP(S$26,'Apoio - Regime de Trabalho'!$A:$I,8,FALSE)))*VLOOKUP(S$26,'Apoio - Regime de Trabalho'!$A:$I,7,FALSE)),
IF(S141="Não",0,
IF(S141="Indenização",(((SUM(S32,S42)/VLOOKUP(S$26,'Apoio - Regime de Trabalho'!$A:$I,8,FALSE))*1.5)*VLOOKUP(S$26,'Apoio - Regime de Trabalho'!$A:$I,7,FALSE)),"")))</f>
        <v/>
      </c>
      <c r="T142" s="204" t="str">
        <f>IF(T141="Rendição",(((SUM(T61,T$83,T$112,T148)/VLOOKUP(T$26,'Apoio - Regime de Trabalho'!$A:$I,8,FALSE)))*VLOOKUP(T$26,'Apoio - Regime de Trabalho'!$A:$I,7,FALSE)),
IF(T141="Não",0,
IF(T141="Indenização",(((SUM(T32,T42)/VLOOKUP(T$26,'Apoio - Regime de Trabalho'!$A:$I,8,FALSE))*1.5)*VLOOKUP(T$26,'Apoio - Regime de Trabalho'!$A:$I,7,FALSE)),"")))</f>
        <v/>
      </c>
      <c r="U142" s="204" t="str">
        <f>IF(U141="Rendição",(((SUM(U61,U$83,U$112,U148)/VLOOKUP(U$26,'Apoio - Regime de Trabalho'!$A:$I,8,FALSE)))*VLOOKUP(U$26,'Apoio - Regime de Trabalho'!$A:$I,7,FALSE)),
IF(U141="Não",0,
IF(U141="Indenização",(((SUM(U32,U42)/VLOOKUP(U$26,'Apoio - Regime de Trabalho'!$A:$I,8,FALSE))*1.5)*VLOOKUP(U$26,'Apoio - Regime de Trabalho'!$A:$I,7,FALSE)),"")))</f>
        <v/>
      </c>
      <c r="V142" s="204" t="str">
        <f>IF(V141="Rendição",(((SUM(V61,V$83,V$112,V148)/VLOOKUP(V$26,'Apoio - Regime de Trabalho'!$A:$I,8,FALSE)))*VLOOKUP(V$26,'Apoio - Regime de Trabalho'!$A:$I,7,FALSE)),
IF(V141="Não",0,
IF(V141="Indenização",(((SUM(V32,V42)/VLOOKUP(V$26,'Apoio - Regime de Trabalho'!$A:$I,8,FALSE))*1.5)*VLOOKUP(V$26,'Apoio - Regime de Trabalho'!$A:$I,7,FALSE)),"")))</f>
        <v/>
      </c>
      <c r="W142" s="204" t="str">
        <f>IF(W141="Rendição",(((SUM(W61,W$83,W$112,W148)/VLOOKUP(W$26,'Apoio - Regime de Trabalho'!$A:$I,8,FALSE)))*VLOOKUP(W$26,'Apoio - Regime de Trabalho'!$A:$I,7,FALSE)),
IF(W141="Não",0,
IF(W141="Indenização",(((SUM(W32,W42)/VLOOKUP(W$26,'Apoio - Regime de Trabalho'!$A:$I,8,FALSE))*1.5)*VLOOKUP(W$26,'Apoio - Regime de Trabalho'!$A:$I,7,FALSE)),"")))</f>
        <v/>
      </c>
      <c r="X142" s="204" t="str">
        <f>IF(X141="Rendição",(((SUM(X61,X$83,X$112,X148)/VLOOKUP(X$26,'Apoio - Regime de Trabalho'!$A:$I,8,FALSE)))*VLOOKUP(X$26,'Apoio - Regime de Trabalho'!$A:$I,7,FALSE)),
IF(X141="Não",0,
IF(X141="Indenização",(((SUM(X32,X42)/VLOOKUP(X$26,'Apoio - Regime de Trabalho'!$A:$I,8,FALSE))*1.5)*VLOOKUP(X$26,'Apoio - Regime de Trabalho'!$A:$I,7,FALSE)),"")))</f>
        <v/>
      </c>
      <c r="Y142" s="204" t="str">
        <f>IF(Y141="Rendição",(((SUM(Y61,Y$83,Y$112,Y148)/VLOOKUP(Y$26,'Apoio - Regime de Trabalho'!$A:$I,8,FALSE)))*VLOOKUP(Y$26,'Apoio - Regime de Trabalho'!$A:$I,7,FALSE)),
IF(Y141="Não",0,
IF(Y141="Indenização",(((SUM(Y32,Y42)/VLOOKUP(Y$26,'Apoio - Regime de Trabalho'!$A:$I,8,FALSE))*1.5)*VLOOKUP(Y$26,'Apoio - Regime de Trabalho'!$A:$I,7,FALSE)),"")))</f>
        <v/>
      </c>
      <c r="Z142" s="204" t="str">
        <f>IF(Z141="Rendição",(((SUM(Z61,Z$83,Z$112,Z148)/VLOOKUP(Z$26,'Apoio - Regime de Trabalho'!$A:$I,8,FALSE)))*VLOOKUP(Z$26,'Apoio - Regime de Trabalho'!$A:$I,7,FALSE)),
IF(Z141="Não",0,
IF(Z141="Indenização",(((SUM(Z32,Z42)/VLOOKUP(Z$26,'Apoio - Regime de Trabalho'!$A:$I,8,FALSE))*1.5)*VLOOKUP(Z$26,'Apoio - Regime de Trabalho'!$A:$I,7,FALSE)),"")))</f>
        <v/>
      </c>
      <c r="AA142" s="204" t="str">
        <f>IF(AA141="Rendição",(((SUM(AA61,AA$83,AA$112,AA148)/VLOOKUP(AA$26,'Apoio - Regime de Trabalho'!$A:$I,8,FALSE)))*VLOOKUP(AA$26,'Apoio - Regime de Trabalho'!$A:$I,7,FALSE)),
IF(AA141="Não",0,
IF(AA141="Indenização",(((SUM(AA32,AA42)/VLOOKUP(AA$26,'Apoio - Regime de Trabalho'!$A:$I,8,FALSE))*1.5)*VLOOKUP(AA$26,'Apoio - Regime de Trabalho'!$A:$I,7,FALSE)),"")))</f>
        <v/>
      </c>
      <c r="AB142" s="204" t="str">
        <f>IF(AB141="Rendição",(((SUM(AB61,AB$83,AB$112,AB148)/VLOOKUP(AB$26,'Apoio - Regime de Trabalho'!$A:$I,8,FALSE)))*VLOOKUP(AB$26,'Apoio - Regime de Trabalho'!$A:$I,7,FALSE)),
IF(AB141="Não",0,
IF(AB141="Indenização",(((SUM(AB32,AB42)/VLOOKUP(AB$26,'Apoio - Regime de Trabalho'!$A:$I,8,FALSE))*1.5)*VLOOKUP(AB$26,'Apoio - Regime de Trabalho'!$A:$I,7,FALSE)),"")))</f>
        <v/>
      </c>
      <c r="AC142" s="204" t="str">
        <f>IF(AC141="Rendição",(((SUM(AC61,AC$83,AC$112,AC148)/VLOOKUP(AC$26,'Apoio - Regime de Trabalho'!$A:$I,8,FALSE)))*VLOOKUP(AC$26,'Apoio - Regime de Trabalho'!$A:$I,7,FALSE)),
IF(AC141="Não",0,
IF(AC141="Indenização",(((SUM(AC32,AC42)/VLOOKUP(AC$26,'Apoio - Regime de Trabalho'!$A:$I,8,FALSE))*1.5)*VLOOKUP(AC$26,'Apoio - Regime de Trabalho'!$A:$I,7,FALSE)),"")))</f>
        <v/>
      </c>
      <c r="AD142" s="204" t="str">
        <f>IF(AD141="Rendição",(((SUM(AD61,AD$83,AD$112,AD148)/VLOOKUP(AD$26,'Apoio - Regime de Trabalho'!$A:$I,8,FALSE)))*VLOOKUP(AD$26,'Apoio - Regime de Trabalho'!$A:$I,7,FALSE)),
IF(AD141="Não",0,
IF(AD141="Indenização",(((SUM(AD32,AD42)/VLOOKUP(AD$26,'Apoio - Regime de Trabalho'!$A:$I,8,FALSE))*1.5)*VLOOKUP(AD$26,'Apoio - Regime de Trabalho'!$A:$I,7,FALSE)),"")))</f>
        <v/>
      </c>
    </row>
    <row r="143" spans="1:30" s="5" customFormat="1">
      <c r="A143" s="746"/>
      <c r="B143" s="538"/>
      <c r="C143" s="539" t="s">
        <v>149</v>
      </c>
      <c r="D143" s="747"/>
      <c r="E143" s="743">
        <f>E142</f>
        <v>0</v>
      </c>
      <c r="F143" s="743">
        <f t="shared" ref="F143:H143" si="127">F142</f>
        <v>0</v>
      </c>
      <c r="G143" s="743" t="str">
        <f t="shared" si="127"/>
        <v/>
      </c>
      <c r="H143" s="743" t="str">
        <f t="shared" si="127"/>
        <v/>
      </c>
      <c r="I143" s="743" t="str">
        <f t="shared" ref="I143:N143" si="128">I142</f>
        <v/>
      </c>
      <c r="J143" s="743" t="str">
        <f t="shared" si="128"/>
        <v/>
      </c>
      <c r="K143" s="743" t="str">
        <f t="shared" si="128"/>
        <v/>
      </c>
      <c r="L143" s="743" t="str">
        <f t="shared" si="128"/>
        <v/>
      </c>
      <c r="M143" s="743" t="str">
        <f t="shared" si="128"/>
        <v/>
      </c>
      <c r="N143" s="743" t="str">
        <f t="shared" si="128"/>
        <v/>
      </c>
      <c r="O143" s="743" t="str">
        <f t="shared" ref="O143:AD143" si="129">O142</f>
        <v/>
      </c>
      <c r="P143" s="743" t="str">
        <f t="shared" si="129"/>
        <v/>
      </c>
      <c r="Q143" s="743" t="str">
        <f t="shared" si="129"/>
        <v/>
      </c>
      <c r="R143" s="743" t="str">
        <f t="shared" si="129"/>
        <v/>
      </c>
      <c r="S143" s="743" t="str">
        <f t="shared" si="129"/>
        <v/>
      </c>
      <c r="T143" s="743" t="str">
        <f t="shared" si="129"/>
        <v/>
      </c>
      <c r="U143" s="743" t="str">
        <f t="shared" si="129"/>
        <v/>
      </c>
      <c r="V143" s="743" t="str">
        <f t="shared" si="129"/>
        <v/>
      </c>
      <c r="W143" s="743" t="str">
        <f t="shared" si="129"/>
        <v/>
      </c>
      <c r="X143" s="743" t="str">
        <f t="shared" si="129"/>
        <v/>
      </c>
      <c r="Y143" s="743" t="str">
        <f t="shared" si="129"/>
        <v/>
      </c>
      <c r="Z143" s="743" t="str">
        <f t="shared" si="129"/>
        <v/>
      </c>
      <c r="AA143" s="743" t="str">
        <f t="shared" si="129"/>
        <v/>
      </c>
      <c r="AB143" s="743" t="str">
        <f t="shared" si="129"/>
        <v/>
      </c>
      <c r="AC143" s="743" t="str">
        <f t="shared" si="129"/>
        <v/>
      </c>
      <c r="AD143" s="743" t="str">
        <f t="shared" si="129"/>
        <v/>
      </c>
    </row>
    <row r="144" spans="1:30" customFormat="1" ht="3.75" customHeight="1"/>
    <row r="145" spans="1:30" s="5" customFormat="1">
      <c r="A145" s="733"/>
      <c r="B145" s="529"/>
      <c r="C145" s="517" t="s">
        <v>150</v>
      </c>
      <c r="D145" s="734"/>
      <c r="E145" s="735">
        <f>IF(E143="",E137,SUM(E143,E137))</f>
        <v>105.06070974532319</v>
      </c>
      <c r="F145" s="735">
        <f t="shared" ref="F145:H145" si="130">IF(F143="",F137,SUM(F143,F137))</f>
        <v>127.40998800023741</v>
      </c>
      <c r="G145" s="737" t="str">
        <f t="shared" si="130"/>
        <v/>
      </c>
      <c r="H145" s="796" t="str">
        <f t="shared" si="130"/>
        <v/>
      </c>
      <c r="I145" s="796" t="str">
        <f t="shared" ref="I145:N145" si="131">IF(I143="",I137,SUM(I143,I137))</f>
        <v/>
      </c>
      <c r="J145" s="796" t="str">
        <f t="shared" si="131"/>
        <v/>
      </c>
      <c r="K145" s="796" t="str">
        <f t="shared" si="131"/>
        <v/>
      </c>
      <c r="L145" s="796" t="str">
        <f t="shared" si="131"/>
        <v/>
      </c>
      <c r="M145" s="796" t="str">
        <f t="shared" si="131"/>
        <v/>
      </c>
      <c r="N145" s="796" t="str">
        <f t="shared" si="131"/>
        <v/>
      </c>
      <c r="O145" s="796" t="str">
        <f t="shared" ref="O145:AD145" si="132">IF(O143="",O137,SUM(O143,O137))</f>
        <v/>
      </c>
      <c r="P145" s="796" t="str">
        <f t="shared" si="132"/>
        <v/>
      </c>
      <c r="Q145" s="796" t="str">
        <f t="shared" si="132"/>
        <v/>
      </c>
      <c r="R145" s="796" t="str">
        <f t="shared" si="132"/>
        <v/>
      </c>
      <c r="S145" s="796" t="str">
        <f t="shared" si="132"/>
        <v/>
      </c>
      <c r="T145" s="796" t="str">
        <f t="shared" si="132"/>
        <v/>
      </c>
      <c r="U145" s="796" t="str">
        <f t="shared" si="132"/>
        <v/>
      </c>
      <c r="V145" s="796" t="str">
        <f t="shared" si="132"/>
        <v/>
      </c>
      <c r="W145" s="796" t="str">
        <f t="shared" si="132"/>
        <v/>
      </c>
      <c r="X145" s="796" t="str">
        <f t="shared" si="132"/>
        <v/>
      </c>
      <c r="Y145" s="796" t="str">
        <f t="shared" si="132"/>
        <v/>
      </c>
      <c r="Z145" s="796" t="str">
        <f t="shared" si="132"/>
        <v/>
      </c>
      <c r="AA145" s="796" t="str">
        <f t="shared" si="132"/>
        <v/>
      </c>
      <c r="AB145" s="796" t="str">
        <f t="shared" si="132"/>
        <v/>
      </c>
      <c r="AC145" s="796" t="str">
        <f t="shared" si="132"/>
        <v/>
      </c>
      <c r="AD145" s="796" t="str">
        <f t="shared" si="132"/>
        <v/>
      </c>
    </row>
    <row r="146" spans="1:30" s="5" customFormat="1">
      <c r="B146" s="80"/>
      <c r="C146" s="15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s="6" customFormat="1">
      <c r="A147" s="739"/>
      <c r="B147" s="477"/>
      <c r="C147" s="517" t="s">
        <v>414</v>
      </c>
      <c r="D147" s="678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</row>
    <row r="148" spans="1:30" s="6" customFormat="1">
      <c r="A148" s="801"/>
      <c r="B148" s="595" t="s">
        <v>2</v>
      </c>
      <c r="C148" s="596" t="s">
        <v>275</v>
      </c>
      <c r="D148" s="744"/>
      <c r="E148" s="683">
        <f>IF(E18="","",ROUND(IF($D$148&lt;&gt;"",$D$148*E170,IFERROR('Mat Individual e Uniformes func'!H26/Resumo!$J$6,"")),2))</f>
        <v>0</v>
      </c>
      <c r="F148" s="683">
        <f>IF(F18="","",ROUND(IF($D$148&lt;&gt;"",$D$148*F170,IFERROR('Mat Individual e Uniformes func'!I26/Resumo!$J$6,"")),2))</f>
        <v>0</v>
      </c>
      <c r="G148" s="683" t="str">
        <f>IF(G18="","",ROUND(IF($D$148&lt;&gt;"",$D$148*G170,IFERROR('Mat Individual e Uniformes func'!J26/Resumo!$J$6,"")),2))</f>
        <v/>
      </c>
      <c r="H148" s="683" t="str">
        <f>IF(H18="","",ROUND(IF($D$148&lt;&gt;"",$D$148*H170,IFERROR('Mat Individual e Uniformes func'!K26/Resumo!$J$6,"")),2))</f>
        <v/>
      </c>
      <c r="I148" s="683" t="str">
        <f>IF(I18="","",ROUND(IF($D$148&lt;&gt;"",$D$148*I170,IFERROR('Mat Individual e Uniformes func'!L26/Resumo!$J$6,"")),2))</f>
        <v/>
      </c>
      <c r="J148" s="683" t="str">
        <f>IF(J18="","",ROUND(IF($D$148&lt;&gt;"",$D$148*J170,IFERROR('Mat Individual e Uniformes func'!M26/Resumo!$J$6,"")),2))</f>
        <v/>
      </c>
      <c r="K148" s="683" t="str">
        <f>IF(K18="","",ROUND(IF($D$148&lt;&gt;"",$D$148*K170,IFERROR('Mat Individual e Uniformes func'!N26/Resumo!$J$6,"")),2))</f>
        <v/>
      </c>
      <c r="L148" s="683" t="str">
        <f>IF(L18="","",ROUND(IF($D$148&lt;&gt;"",$D$148*L170,IFERROR('Mat Individual e Uniformes func'!O26/Resumo!$J$6,"")),2))</f>
        <v/>
      </c>
      <c r="M148" s="683" t="str">
        <f>IF(M18="","",ROUND(IF($D$148&lt;&gt;"",$D$148*M170,IFERROR('Mat Individual e Uniformes func'!P26/Resumo!$J$6,"")),2))</f>
        <v/>
      </c>
      <c r="N148" s="683" t="str">
        <f>IF(N18="","",ROUND(IF($D$148&lt;&gt;"",$D$148*N170,IFERROR('Mat Individual e Uniformes func'!Q26/Resumo!$J$6,"")),2))</f>
        <v/>
      </c>
      <c r="O148" s="683" t="str">
        <f>IF(O18="","",ROUND(IF($D$148&lt;&gt;"",$D$148*O170,IFERROR('Mat Individual e Uniformes func'!R26/Resumo!$J$6,"")),2))</f>
        <v/>
      </c>
      <c r="P148" s="683" t="str">
        <f>IF(P18="","",ROUND(IF($D$148&lt;&gt;"",$D$148*P170,IFERROR('Mat Individual e Uniformes func'!S26/Resumo!$J$6,"")),2))</f>
        <v/>
      </c>
      <c r="Q148" s="683" t="str">
        <f>IF(Q18="","",ROUND(IF($D$148&lt;&gt;"",$D$148*Q170,IFERROR('Mat Individual e Uniformes func'!T26/Resumo!$J$6,"")),2))</f>
        <v/>
      </c>
      <c r="R148" s="683" t="str">
        <f>IF(R18="","",ROUND(IF($D$148&lt;&gt;"",$D$148*R170,IFERROR('Mat Individual e Uniformes func'!U26/Resumo!$J$6,"")),2))</f>
        <v/>
      </c>
      <c r="S148" s="683" t="str">
        <f>IF(S18="","",ROUND(IF($D$148&lt;&gt;"",$D$148*S170,IFERROR('Mat Individual e Uniformes func'!V26/Resumo!$J$6,"")),2))</f>
        <v/>
      </c>
      <c r="T148" s="683" t="str">
        <f>IF(T18="","",ROUND(IF($D$148&lt;&gt;"",$D$148*T170,IFERROR('Mat Individual e Uniformes func'!W26/Resumo!$J$6,"")),2))</f>
        <v/>
      </c>
      <c r="U148" s="683" t="str">
        <f>IF(U18="","",ROUND(IF($D$148&lt;&gt;"",$D$148*U170,IFERROR('Mat Individual e Uniformes func'!X26/Resumo!$J$6,"")),2))</f>
        <v/>
      </c>
      <c r="V148" s="683" t="str">
        <f>IF(V18="","",ROUND(IF($D$148&lt;&gt;"",$D$148*V170,IFERROR('Mat Individual e Uniformes func'!Y26/Resumo!$J$6,"")),2))</f>
        <v/>
      </c>
      <c r="W148" s="683" t="str">
        <f>IF(W18="","",ROUND(IF($D$148&lt;&gt;"",$D$148*W170,IFERROR('Mat Individual e Uniformes func'!Z26/Resumo!$J$6,"")),2))</f>
        <v/>
      </c>
      <c r="X148" s="683" t="str">
        <f>IF(X18="","",ROUND(IF($D$148&lt;&gt;"",$D$148*X170,IFERROR('Mat Individual e Uniformes func'!AA26/Resumo!$J$6,"")),2))</f>
        <v/>
      </c>
      <c r="Y148" s="683" t="str">
        <f>IF(Y18="","",ROUND(IF($D$148&lt;&gt;"",$D$148*Y170,IFERROR('Mat Individual e Uniformes func'!AB26/Resumo!$J$6,"")),2))</f>
        <v/>
      </c>
      <c r="Z148" s="683" t="str">
        <f>IF(Z18="","",ROUND(IF($D$148&lt;&gt;"",$D$148*Z170,IFERROR('Mat Individual e Uniformes func'!AC26/Resumo!$J$6,"")),2))</f>
        <v/>
      </c>
      <c r="AA148" s="683" t="str">
        <f>IF(AA18="","",ROUND(IF($D$148&lt;&gt;"",$D$148*AA170,IFERROR('Mat Individual e Uniformes func'!AD26/Resumo!$J$6,"")),2))</f>
        <v/>
      </c>
      <c r="AB148" s="683" t="str">
        <f>IF(AB18="","",ROUND(IF($D$148&lt;&gt;"",$D$148*AB170,IFERROR('Mat Individual e Uniformes func'!AE26/Resumo!$J$6,"")),2))</f>
        <v/>
      </c>
      <c r="AC148" s="683" t="str">
        <f>IF(AC18="","",ROUND(IF($D$148&lt;&gt;"",$D$148*AC170,IFERROR('Mat Individual e Uniformes func'!AF26/Resumo!$J$6,"")),2))</f>
        <v/>
      </c>
      <c r="AD148" s="683" t="str">
        <f>IF(AD18="","",ROUND(IF($D$148&lt;&gt;"",$D$148*AD170,IFERROR('Mat Individual e Uniformes func'!AG26/Resumo!$J$6,"")),2))</f>
        <v/>
      </c>
    </row>
    <row r="149" spans="1:30" s="6" customFormat="1" hidden="1">
      <c r="A149" s="801"/>
      <c r="B149" s="595" t="s">
        <v>1</v>
      </c>
      <c r="C149" s="596" t="s">
        <v>276</v>
      </c>
      <c r="D149" s="744"/>
      <c r="E149" s="683"/>
      <c r="F149" s="683"/>
      <c r="G149" s="683"/>
      <c r="H149" s="683"/>
      <c r="I149" s="683"/>
      <c r="J149" s="683"/>
      <c r="K149" s="683"/>
      <c r="L149" s="683"/>
      <c r="M149" s="683"/>
      <c r="N149" s="683"/>
      <c r="O149" s="683"/>
      <c r="P149" s="683"/>
      <c r="Q149" s="683"/>
      <c r="R149" s="683"/>
      <c r="S149" s="683"/>
      <c r="T149" s="683"/>
      <c r="U149" s="683"/>
      <c r="V149" s="683"/>
      <c r="W149" s="683"/>
      <c r="X149" s="683"/>
      <c r="Y149" s="683"/>
      <c r="Z149" s="683"/>
      <c r="AA149" s="683"/>
      <c r="AB149" s="683"/>
      <c r="AC149" s="683"/>
      <c r="AD149" s="683"/>
    </row>
    <row r="150" spans="1:30" s="5" customFormat="1">
      <c r="A150" s="733"/>
      <c r="B150" s="529"/>
      <c r="C150" s="517" t="s">
        <v>270</v>
      </c>
      <c r="D150" s="734"/>
      <c r="E150" s="735">
        <f>IF(E18="","",SUM(E148:E149))</f>
        <v>0</v>
      </c>
      <c r="F150" s="735">
        <f t="shared" ref="F150:H150" si="133">IF(F18="","",SUM(F148:F149))</f>
        <v>0</v>
      </c>
      <c r="G150" s="735" t="str">
        <f t="shared" si="133"/>
        <v/>
      </c>
      <c r="H150" s="735" t="str">
        <f t="shared" si="133"/>
        <v/>
      </c>
      <c r="I150" s="735" t="str">
        <f t="shared" ref="I150:N150" si="134">IF(I18="","",SUM(I148:I149))</f>
        <v/>
      </c>
      <c r="J150" s="735" t="str">
        <f t="shared" si="134"/>
        <v/>
      </c>
      <c r="K150" s="735" t="str">
        <f t="shared" si="134"/>
        <v/>
      </c>
      <c r="L150" s="735" t="str">
        <f t="shared" si="134"/>
        <v/>
      </c>
      <c r="M150" s="735" t="str">
        <f t="shared" si="134"/>
        <v/>
      </c>
      <c r="N150" s="735" t="str">
        <f t="shared" si="134"/>
        <v/>
      </c>
      <c r="O150" s="735" t="str">
        <f t="shared" ref="O150:AD150" si="135">IF(O18="","",SUM(O148:O149))</f>
        <v/>
      </c>
      <c r="P150" s="735" t="str">
        <f t="shared" si="135"/>
        <v/>
      </c>
      <c r="Q150" s="735" t="str">
        <f t="shared" si="135"/>
        <v/>
      </c>
      <c r="R150" s="735" t="str">
        <f t="shared" si="135"/>
        <v/>
      </c>
      <c r="S150" s="735" t="str">
        <f t="shared" si="135"/>
        <v/>
      </c>
      <c r="T150" s="735" t="str">
        <f t="shared" si="135"/>
        <v/>
      </c>
      <c r="U150" s="735" t="str">
        <f t="shared" si="135"/>
        <v/>
      </c>
      <c r="V150" s="735" t="str">
        <f t="shared" si="135"/>
        <v/>
      </c>
      <c r="W150" s="735" t="str">
        <f t="shared" si="135"/>
        <v/>
      </c>
      <c r="X150" s="735" t="str">
        <f t="shared" si="135"/>
        <v/>
      </c>
      <c r="Y150" s="735" t="str">
        <f t="shared" si="135"/>
        <v/>
      </c>
      <c r="Z150" s="735" t="str">
        <f t="shared" si="135"/>
        <v/>
      </c>
      <c r="AA150" s="735" t="str">
        <f t="shared" si="135"/>
        <v/>
      </c>
      <c r="AB150" s="735" t="str">
        <f t="shared" si="135"/>
        <v/>
      </c>
      <c r="AC150" s="735" t="str">
        <f t="shared" si="135"/>
        <v/>
      </c>
      <c r="AD150" s="735" t="str">
        <f t="shared" si="135"/>
        <v/>
      </c>
    </row>
    <row r="151" spans="1:30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6" customFormat="1">
      <c r="A152" s="739"/>
      <c r="B152" s="477"/>
      <c r="C152" s="517" t="s">
        <v>277</v>
      </c>
      <c r="D152" s="678"/>
      <c r="E152" s="402"/>
      <c r="F152" s="402"/>
      <c r="G152" s="402"/>
      <c r="H152" s="402"/>
      <c r="I152" s="402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</row>
    <row r="153" spans="1:30" customFormat="1" ht="3.75" customHeight="1"/>
    <row r="154" spans="1:30" s="6" customFormat="1">
      <c r="A154" s="740"/>
      <c r="B154" s="538"/>
      <c r="C154" s="539" t="s">
        <v>281</v>
      </c>
      <c r="D154" s="741"/>
      <c r="E154" s="742"/>
      <c r="F154" s="742"/>
      <c r="G154" s="742"/>
      <c r="H154" s="742"/>
      <c r="I154" s="742"/>
      <c r="J154" s="742"/>
      <c r="K154" s="742"/>
      <c r="L154" s="742"/>
      <c r="M154" s="742"/>
      <c r="N154" s="742"/>
      <c r="O154" s="742"/>
      <c r="P154" s="742"/>
      <c r="Q154" s="742"/>
      <c r="R154" s="742"/>
      <c r="S154" s="742"/>
      <c r="T154" s="742"/>
      <c r="U154" s="742"/>
      <c r="V154" s="742"/>
      <c r="W154" s="742"/>
      <c r="X154" s="742"/>
      <c r="Y154" s="742"/>
      <c r="Z154" s="742"/>
      <c r="AA154" s="742"/>
      <c r="AB154" s="742"/>
      <c r="AC154" s="742"/>
      <c r="AD154" s="742"/>
    </row>
    <row r="155" spans="1:30">
      <c r="A155" s="803"/>
      <c r="B155" s="595" t="s">
        <v>2</v>
      </c>
      <c r="C155" s="709" t="s">
        <v>622</v>
      </c>
      <c r="D155" s="744">
        <v>0.05</v>
      </c>
      <c r="E155" s="683">
        <f>IF(E18="","",IFERROR(ROUND($D$155*SUM(E61,E114,E123,E145,E150),2),""))</f>
        <v>255.52</v>
      </c>
      <c r="F155" s="683">
        <f t="shared" ref="F155:H155" si="136">IF(F18="","",IFERROR(ROUND($D$155*SUM(F61,F114,F123,F145,F150),2),""))</f>
        <v>306.27999999999997</v>
      </c>
      <c r="G155" s="683" t="str">
        <f t="shared" si="136"/>
        <v/>
      </c>
      <c r="H155" s="683" t="str">
        <f t="shared" si="136"/>
        <v/>
      </c>
      <c r="I155" s="683" t="str">
        <f t="shared" ref="I155:N155" si="137">IF(I18="","",IFERROR(ROUND($D$155*SUM(I61,I114,I123,I145,I150),2),""))</f>
        <v/>
      </c>
      <c r="J155" s="683" t="str">
        <f t="shared" si="137"/>
        <v/>
      </c>
      <c r="K155" s="683" t="str">
        <f t="shared" si="137"/>
        <v/>
      </c>
      <c r="L155" s="683" t="str">
        <f t="shared" si="137"/>
        <v/>
      </c>
      <c r="M155" s="683" t="str">
        <f t="shared" si="137"/>
        <v/>
      </c>
      <c r="N155" s="683" t="str">
        <f t="shared" si="137"/>
        <v/>
      </c>
      <c r="O155" s="683" t="str">
        <f t="shared" ref="O155:AD155" si="138">IF(O18="","",IFERROR(ROUND($D$155*SUM(O61,O114,O123,O145,O150),2),""))</f>
        <v/>
      </c>
      <c r="P155" s="683" t="str">
        <f t="shared" si="138"/>
        <v/>
      </c>
      <c r="Q155" s="683" t="str">
        <f t="shared" si="138"/>
        <v/>
      </c>
      <c r="R155" s="683" t="str">
        <f t="shared" si="138"/>
        <v/>
      </c>
      <c r="S155" s="683" t="str">
        <f t="shared" si="138"/>
        <v/>
      </c>
      <c r="T155" s="683" t="str">
        <f t="shared" si="138"/>
        <v/>
      </c>
      <c r="U155" s="683" t="str">
        <f t="shared" si="138"/>
        <v/>
      </c>
      <c r="V155" s="683" t="str">
        <f t="shared" si="138"/>
        <v/>
      </c>
      <c r="W155" s="683" t="str">
        <f t="shared" si="138"/>
        <v/>
      </c>
      <c r="X155" s="683" t="str">
        <f t="shared" si="138"/>
        <v/>
      </c>
      <c r="Y155" s="683" t="str">
        <f t="shared" si="138"/>
        <v/>
      </c>
      <c r="Z155" s="683" t="str">
        <f t="shared" si="138"/>
        <v/>
      </c>
      <c r="AA155" s="683" t="str">
        <f t="shared" si="138"/>
        <v/>
      </c>
      <c r="AB155" s="683" t="str">
        <f t="shared" si="138"/>
        <v/>
      </c>
      <c r="AC155" s="683" t="str">
        <f t="shared" si="138"/>
        <v/>
      </c>
      <c r="AD155" s="683" t="str">
        <f t="shared" si="138"/>
        <v/>
      </c>
    </row>
    <row r="156" spans="1:30">
      <c r="A156" s="801"/>
      <c r="B156" s="595" t="s">
        <v>1</v>
      </c>
      <c r="C156" s="709" t="s">
        <v>279</v>
      </c>
      <c r="D156" s="744">
        <v>9.9900000000000003E-2</v>
      </c>
      <c r="E156" s="683">
        <f>IF(E18="","",IFERROR(ROUND($D$156*SUM(E155,E61,E114,E123,E145,E150),2),""))</f>
        <v>536.05999999999995</v>
      </c>
      <c r="F156" s="683">
        <f t="shared" ref="F156:H156" si="139">IF(F18="","",IFERROR(ROUND($D$156*SUM(F155,F61,F114,F123,F145,F150),2),""))</f>
        <v>642.54999999999995</v>
      </c>
      <c r="G156" s="683" t="str">
        <f t="shared" si="139"/>
        <v/>
      </c>
      <c r="H156" s="683" t="str">
        <f t="shared" si="139"/>
        <v/>
      </c>
      <c r="I156" s="683" t="str">
        <f t="shared" ref="I156:N156" si="140">IF(I18="","",IFERROR(ROUND($D$156*SUM(I155,I61,I114,I123,I145,I150),2),""))</f>
        <v/>
      </c>
      <c r="J156" s="683" t="str">
        <f t="shared" si="140"/>
        <v/>
      </c>
      <c r="K156" s="683" t="str">
        <f t="shared" si="140"/>
        <v/>
      </c>
      <c r="L156" s="683" t="str">
        <f t="shared" si="140"/>
        <v/>
      </c>
      <c r="M156" s="683" t="str">
        <f t="shared" si="140"/>
        <v/>
      </c>
      <c r="N156" s="683" t="str">
        <f t="shared" si="140"/>
        <v/>
      </c>
      <c r="O156" s="683" t="str">
        <f t="shared" ref="O156:AD156" si="141">IF(O18="","",IFERROR(ROUND($D$156*SUM(O155,O61,O114,O123,O145,O150),2),""))</f>
        <v/>
      </c>
      <c r="P156" s="683" t="str">
        <f t="shared" si="141"/>
        <v/>
      </c>
      <c r="Q156" s="683" t="str">
        <f t="shared" si="141"/>
        <v/>
      </c>
      <c r="R156" s="683" t="str">
        <f t="shared" si="141"/>
        <v/>
      </c>
      <c r="S156" s="683" t="str">
        <f t="shared" si="141"/>
        <v/>
      </c>
      <c r="T156" s="683" t="str">
        <f t="shared" si="141"/>
        <v/>
      </c>
      <c r="U156" s="683" t="str">
        <f t="shared" si="141"/>
        <v/>
      </c>
      <c r="V156" s="683" t="str">
        <f t="shared" si="141"/>
        <v/>
      </c>
      <c r="W156" s="683" t="str">
        <f t="shared" si="141"/>
        <v/>
      </c>
      <c r="X156" s="683" t="str">
        <f t="shared" si="141"/>
        <v/>
      </c>
      <c r="Y156" s="683" t="str">
        <f t="shared" si="141"/>
        <v/>
      </c>
      <c r="Z156" s="683" t="str">
        <f t="shared" si="141"/>
        <v/>
      </c>
      <c r="AA156" s="683" t="str">
        <f t="shared" si="141"/>
        <v/>
      </c>
      <c r="AB156" s="683" t="str">
        <f t="shared" si="141"/>
        <v/>
      </c>
      <c r="AC156" s="683" t="str">
        <f t="shared" si="141"/>
        <v/>
      </c>
      <c r="AD156" s="683" t="str">
        <f t="shared" si="141"/>
        <v/>
      </c>
    </row>
    <row r="157" spans="1:30" s="5" customFormat="1">
      <c r="A157" s="746"/>
      <c r="B157" s="538"/>
      <c r="C157" s="539" t="s">
        <v>282</v>
      </c>
      <c r="D157" s="747"/>
      <c r="E157" s="742">
        <f>IF(E18="","",SUM(E155:E156))</f>
        <v>791.57999999999993</v>
      </c>
      <c r="F157" s="742">
        <f t="shared" ref="F157:H157" si="142">IF(F18="","",SUM(F155:F156))</f>
        <v>948.82999999999993</v>
      </c>
      <c r="G157" s="742" t="str">
        <f t="shared" si="142"/>
        <v/>
      </c>
      <c r="H157" s="742" t="str">
        <f t="shared" si="142"/>
        <v/>
      </c>
      <c r="I157" s="742" t="str">
        <f t="shared" ref="I157:N157" si="143">IF(I18="","",SUM(I155:I156))</f>
        <v/>
      </c>
      <c r="J157" s="742" t="str">
        <f t="shared" si="143"/>
        <v/>
      </c>
      <c r="K157" s="742" t="str">
        <f t="shared" si="143"/>
        <v/>
      </c>
      <c r="L157" s="742" t="str">
        <f t="shared" si="143"/>
        <v/>
      </c>
      <c r="M157" s="742" t="str">
        <f t="shared" si="143"/>
        <v/>
      </c>
      <c r="N157" s="742" t="str">
        <f t="shared" si="143"/>
        <v/>
      </c>
      <c r="O157" s="742" t="str">
        <f t="shared" ref="O157:AD157" si="144">IF(O18="","",SUM(O155:O156))</f>
        <v/>
      </c>
      <c r="P157" s="742" t="str">
        <f t="shared" si="144"/>
        <v/>
      </c>
      <c r="Q157" s="742" t="str">
        <f t="shared" si="144"/>
        <v/>
      </c>
      <c r="R157" s="742" t="str">
        <f t="shared" si="144"/>
        <v/>
      </c>
      <c r="S157" s="742" t="str">
        <f t="shared" si="144"/>
        <v/>
      </c>
      <c r="T157" s="742" t="str">
        <f t="shared" si="144"/>
        <v/>
      </c>
      <c r="U157" s="742" t="str">
        <f t="shared" si="144"/>
        <v/>
      </c>
      <c r="V157" s="742" t="str">
        <f t="shared" si="144"/>
        <v/>
      </c>
      <c r="W157" s="742" t="str">
        <f t="shared" si="144"/>
        <v/>
      </c>
      <c r="X157" s="742" t="str">
        <f t="shared" si="144"/>
        <v/>
      </c>
      <c r="Y157" s="742" t="str">
        <f t="shared" si="144"/>
        <v/>
      </c>
      <c r="Z157" s="742" t="str">
        <f t="shared" si="144"/>
        <v/>
      </c>
      <c r="AA157" s="742" t="str">
        <f t="shared" si="144"/>
        <v/>
      </c>
      <c r="AB157" s="742" t="str">
        <f t="shared" si="144"/>
        <v/>
      </c>
      <c r="AC157" s="742" t="str">
        <f t="shared" si="144"/>
        <v/>
      </c>
      <c r="AD157" s="742" t="str">
        <f t="shared" si="144"/>
        <v/>
      </c>
    </row>
    <row r="158" spans="1:30" customFormat="1" ht="3.75" customHeight="1"/>
    <row r="159" spans="1:30" s="6" customFormat="1">
      <c r="A159" s="740"/>
      <c r="B159" s="538"/>
      <c r="C159" s="539" t="s">
        <v>396</v>
      </c>
      <c r="D159" s="741"/>
      <c r="E159" s="742"/>
      <c r="F159" s="742"/>
      <c r="G159" s="742"/>
      <c r="H159" s="742"/>
      <c r="I159" s="742"/>
      <c r="J159" s="742"/>
      <c r="K159" s="742"/>
      <c r="L159" s="742"/>
      <c r="M159" s="742"/>
      <c r="N159" s="742"/>
      <c r="O159" s="742"/>
      <c r="P159" s="742"/>
      <c r="Q159" s="742"/>
      <c r="R159" s="742"/>
      <c r="S159" s="742"/>
      <c r="T159" s="742"/>
      <c r="U159" s="742"/>
      <c r="V159" s="742"/>
      <c r="W159" s="742"/>
      <c r="X159" s="742"/>
      <c r="Y159" s="742"/>
      <c r="Z159" s="742"/>
      <c r="AA159" s="742"/>
      <c r="AB159" s="742"/>
      <c r="AC159" s="742"/>
      <c r="AD159" s="742"/>
    </row>
    <row r="160" spans="1:30">
      <c r="A160" s="801"/>
      <c r="B160" s="595" t="s">
        <v>2</v>
      </c>
      <c r="C160" s="709" t="s">
        <v>45</v>
      </c>
      <c r="D160" s="807">
        <v>0.03</v>
      </c>
      <c r="E160" s="683">
        <f>IF(E18="","",IFERROR(ROUND(SUM(E$157,E$61,E$114,E$123,E$145,E$150)*$D160/(1-SUM($D$160:$D$165,E$163)),2),""))</f>
        <v>193.83</v>
      </c>
      <c r="F160" s="683">
        <f t="shared" ref="F160:H161" si="145">IF(F18="","",IFERROR(ROUND(SUM(F$157,F$61,F$114,F$123,F$145,F$150)*$D160/(1-SUM($D$160:$D$165,F$163)),2),""))</f>
        <v>232.33</v>
      </c>
      <c r="G160" s="683" t="str">
        <f t="shared" si="145"/>
        <v/>
      </c>
      <c r="H160" s="683" t="str">
        <f t="shared" si="145"/>
        <v/>
      </c>
      <c r="I160" s="683" t="str">
        <f t="shared" ref="I160:N160" si="146">IF(I18="","",IFERROR(ROUND(SUM(I$157,I$61,I$114,I$123,I$145,I$150)*$D160/(1-SUM($D$160:$D$165,I$163)),2),""))</f>
        <v/>
      </c>
      <c r="J160" s="683" t="str">
        <f t="shared" si="146"/>
        <v/>
      </c>
      <c r="K160" s="683" t="str">
        <f t="shared" si="146"/>
        <v/>
      </c>
      <c r="L160" s="683" t="str">
        <f t="shared" si="146"/>
        <v/>
      </c>
      <c r="M160" s="683" t="str">
        <f t="shared" si="146"/>
        <v/>
      </c>
      <c r="N160" s="683" t="str">
        <f t="shared" si="146"/>
        <v/>
      </c>
      <c r="O160" s="683" t="str">
        <f t="shared" ref="O160:AD160" si="147">IF(O18="","",IFERROR(ROUND(SUM(O$157,O$61,O$114,O$123,O$145,O$150)*$D160/(1-SUM($D$160:$D$165,O$163)),2),""))</f>
        <v/>
      </c>
      <c r="P160" s="683" t="str">
        <f t="shared" si="147"/>
        <v/>
      </c>
      <c r="Q160" s="683" t="str">
        <f t="shared" si="147"/>
        <v/>
      </c>
      <c r="R160" s="683" t="str">
        <f t="shared" si="147"/>
        <v/>
      </c>
      <c r="S160" s="683" t="str">
        <f t="shared" si="147"/>
        <v/>
      </c>
      <c r="T160" s="683" t="str">
        <f t="shared" si="147"/>
        <v/>
      </c>
      <c r="U160" s="683" t="str">
        <f t="shared" si="147"/>
        <v/>
      </c>
      <c r="V160" s="683" t="str">
        <f t="shared" si="147"/>
        <v/>
      </c>
      <c r="W160" s="683" t="str">
        <f t="shared" si="147"/>
        <v/>
      </c>
      <c r="X160" s="683" t="str">
        <f t="shared" si="147"/>
        <v/>
      </c>
      <c r="Y160" s="683" t="str">
        <f t="shared" si="147"/>
        <v/>
      </c>
      <c r="Z160" s="683" t="str">
        <f t="shared" si="147"/>
        <v/>
      </c>
      <c r="AA160" s="683" t="str">
        <f t="shared" si="147"/>
        <v/>
      </c>
      <c r="AB160" s="683" t="str">
        <f t="shared" si="147"/>
        <v/>
      </c>
      <c r="AC160" s="683" t="str">
        <f t="shared" si="147"/>
        <v/>
      </c>
      <c r="AD160" s="683" t="str">
        <f t="shared" si="147"/>
        <v/>
      </c>
    </row>
    <row r="161" spans="1:30">
      <c r="A161" s="803"/>
      <c r="B161" s="595" t="s">
        <v>1</v>
      </c>
      <c r="C161" s="709" t="s">
        <v>134</v>
      </c>
      <c r="D161" s="807">
        <v>6.4999999999999997E-3</v>
      </c>
      <c r="E161" s="683">
        <f>IF(E19="","",IFERROR(ROUND(SUM(E$157,E$61,E$114,E$123,E$145,E$150)*$D161/(1-SUM($D$160:$D$165,E$163)),2),""))</f>
        <v>42</v>
      </c>
      <c r="F161" s="683">
        <f t="shared" si="145"/>
        <v>50.34</v>
      </c>
      <c r="G161" s="683" t="str">
        <f t="shared" si="145"/>
        <v/>
      </c>
      <c r="H161" s="683" t="str">
        <f t="shared" si="145"/>
        <v/>
      </c>
      <c r="I161" s="683" t="str">
        <f t="shared" ref="I161:N161" si="148">IF(I19="","",IFERROR(ROUND(SUM(I$157,I$61,I$114,I$123,I$145,I$150)*$D161/(1-SUM($D$160:$D$165,I$163)),2),""))</f>
        <v/>
      </c>
      <c r="J161" s="683" t="str">
        <f t="shared" si="148"/>
        <v/>
      </c>
      <c r="K161" s="683" t="str">
        <f t="shared" si="148"/>
        <v/>
      </c>
      <c r="L161" s="683" t="str">
        <f t="shared" si="148"/>
        <v/>
      </c>
      <c r="M161" s="683" t="str">
        <f t="shared" si="148"/>
        <v/>
      </c>
      <c r="N161" s="683" t="str">
        <f t="shared" si="148"/>
        <v/>
      </c>
      <c r="O161" s="683" t="str">
        <f t="shared" ref="O161:AD161" si="149">IF(O19="","",IFERROR(ROUND(SUM(O$157,O$61,O$114,O$123,O$145,O$150)*$D161/(1-SUM($D$160:$D$165,O$163)),2),""))</f>
        <v/>
      </c>
      <c r="P161" s="683" t="str">
        <f t="shared" si="149"/>
        <v/>
      </c>
      <c r="Q161" s="683" t="str">
        <f t="shared" si="149"/>
        <v/>
      </c>
      <c r="R161" s="683" t="str">
        <f t="shared" si="149"/>
        <v/>
      </c>
      <c r="S161" s="683" t="str">
        <f t="shared" si="149"/>
        <v/>
      </c>
      <c r="T161" s="683" t="str">
        <f t="shared" si="149"/>
        <v/>
      </c>
      <c r="U161" s="683" t="str">
        <f t="shared" si="149"/>
        <v/>
      </c>
      <c r="V161" s="683" t="str">
        <f t="shared" si="149"/>
        <v/>
      </c>
      <c r="W161" s="683" t="str">
        <f t="shared" si="149"/>
        <v/>
      </c>
      <c r="X161" s="683" t="str">
        <f t="shared" si="149"/>
        <v/>
      </c>
      <c r="Y161" s="683" t="str">
        <f t="shared" si="149"/>
        <v/>
      </c>
      <c r="Z161" s="683" t="str">
        <f t="shared" si="149"/>
        <v/>
      </c>
      <c r="AA161" s="683" t="str">
        <f t="shared" si="149"/>
        <v/>
      </c>
      <c r="AB161" s="683" t="str">
        <f t="shared" si="149"/>
        <v/>
      </c>
      <c r="AC161" s="683" t="str">
        <f t="shared" si="149"/>
        <v/>
      </c>
      <c r="AD161" s="683" t="str">
        <f t="shared" si="149"/>
        <v/>
      </c>
    </row>
    <row r="162" spans="1:30">
      <c r="A162" s="803"/>
      <c r="B162" s="865" t="s">
        <v>0</v>
      </c>
      <c r="C162" s="716" t="s">
        <v>46</v>
      </c>
      <c r="D162" s="808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</row>
    <row r="163" spans="1:30">
      <c r="A163" s="803"/>
      <c r="B163" s="866"/>
      <c r="C163" s="713" t="s">
        <v>444</v>
      </c>
      <c r="D163" s="804"/>
      <c r="E163" s="809">
        <v>0.05</v>
      </c>
      <c r="F163" s="809">
        <v>0.05</v>
      </c>
      <c r="G163" s="809" t="str">
        <f>IF(G18="","",
IF($D$13="Simples",INDEX('Apoio - Notas Explicativas'!$Q:$Q,MATCH($C$162,'Apoio - Notas Explicativas'!$C:$C,0)),
IFERROR(VLOOKUP(G$18,'Apoio - Posto'!$A:$AA,20,FALSE),
INDEX('Apoio - Notas Explicativas'!$Q:$Q,MATCH($C$162,'Apoio - Notas Explicativas'!$C:$C,0))
)))</f>
        <v/>
      </c>
      <c r="H163" s="809" t="str">
        <f>IF(H18="","",
IF($D$13="Simples",INDEX('Apoio - Notas Explicativas'!$Q:$Q,MATCH($C$162,'Apoio - Notas Explicativas'!$C:$C,0)),
IFERROR(VLOOKUP(H$18,'Apoio - Posto'!$A:$AA,20,FALSE),
INDEX('Apoio - Notas Explicativas'!$Q:$Q,MATCH($C$162,'Apoio - Notas Explicativas'!$C:$C,0))
)))</f>
        <v/>
      </c>
      <c r="I163" s="809" t="str">
        <f>IF(I18="","",
IF($D$13="Simples",INDEX('Apoio - Notas Explicativas'!$Q:$Q,MATCH($C$162,'Apoio - Notas Explicativas'!$C:$C,0)),
IFERROR(VLOOKUP(I$18,'Apoio - Posto'!$A:$AA,20,FALSE),
INDEX('Apoio - Notas Explicativas'!$Q:$Q,MATCH($C$162,'Apoio - Notas Explicativas'!$C:$C,0))
)))</f>
        <v/>
      </c>
      <c r="J163" s="809" t="str">
        <f>IF(J18="","",
IF($D$13="Simples",INDEX('Apoio - Notas Explicativas'!$Q:$Q,MATCH($C$162,'Apoio - Notas Explicativas'!$C:$C,0)),
IFERROR(VLOOKUP(J$18,'Apoio - Posto'!$A:$AA,20,FALSE),
INDEX('Apoio - Notas Explicativas'!$Q:$Q,MATCH($C$162,'Apoio - Notas Explicativas'!$C:$C,0))
)))</f>
        <v/>
      </c>
      <c r="K163" s="809" t="str">
        <f>IF(K18="","",
IF($D$13="Simples",INDEX('Apoio - Notas Explicativas'!$Q:$Q,MATCH($C$162,'Apoio - Notas Explicativas'!$C:$C,0)),
IFERROR(VLOOKUP(K$18,'Apoio - Posto'!$A:$AA,20,FALSE),
INDEX('Apoio - Notas Explicativas'!$Q:$Q,MATCH($C$162,'Apoio - Notas Explicativas'!$C:$C,0))
)))</f>
        <v/>
      </c>
      <c r="L163" s="809" t="str">
        <f>IF(L18="","",
IF($D$13="Simples",INDEX('Apoio - Notas Explicativas'!$Q:$Q,MATCH($C$162,'Apoio - Notas Explicativas'!$C:$C,0)),
IFERROR(VLOOKUP(L$18,'Apoio - Posto'!$A:$AA,20,FALSE),
INDEX('Apoio - Notas Explicativas'!$Q:$Q,MATCH($C$162,'Apoio - Notas Explicativas'!$C:$C,0))
)))</f>
        <v/>
      </c>
      <c r="M163" s="809" t="str">
        <f>IF(M18="","",
IF($D$13="Simples",INDEX('Apoio - Notas Explicativas'!$Q:$Q,MATCH($C$162,'Apoio - Notas Explicativas'!$C:$C,0)),
IFERROR(VLOOKUP(M$18,'Apoio - Posto'!$A:$AA,20,FALSE),
INDEX('Apoio - Notas Explicativas'!$Q:$Q,MATCH($C$162,'Apoio - Notas Explicativas'!$C:$C,0))
)))</f>
        <v/>
      </c>
      <c r="N163" s="809" t="str">
        <f>IF(N18="","",
IF($D$13="Simples",INDEX('Apoio - Notas Explicativas'!$Q:$Q,MATCH($C$162,'Apoio - Notas Explicativas'!$C:$C,0)),
IFERROR(VLOOKUP(N$18,'Apoio - Posto'!$A:$AA,20,FALSE),
INDEX('Apoio - Notas Explicativas'!$Q:$Q,MATCH($C$162,'Apoio - Notas Explicativas'!$C:$C,0))
)))</f>
        <v/>
      </c>
      <c r="O163" s="809" t="str">
        <f>IF(O18="","",
IF($D$13="Simples",INDEX('Apoio - Notas Explicativas'!$Q:$Q,MATCH($C$162,'Apoio - Notas Explicativas'!$C:$C,0)),
IFERROR(VLOOKUP(O$18,'Apoio - Posto'!$A:$AA,20,FALSE),
INDEX('Apoio - Notas Explicativas'!$Q:$Q,MATCH($C$162,'Apoio - Notas Explicativas'!$C:$C,0))
)))</f>
        <v/>
      </c>
      <c r="P163" s="809" t="str">
        <f>IF(P18="","",
IF($D$13="Simples",INDEX('Apoio - Notas Explicativas'!$Q:$Q,MATCH($C$162,'Apoio - Notas Explicativas'!$C:$C,0)),
IFERROR(VLOOKUP(P$18,'Apoio - Posto'!$A:$AA,20,FALSE),
INDEX('Apoio - Notas Explicativas'!$Q:$Q,MATCH($C$162,'Apoio - Notas Explicativas'!$C:$C,0))
)))</f>
        <v/>
      </c>
      <c r="Q163" s="809" t="str">
        <f>IF(Q18="","",
IF($D$13="Simples",INDEX('Apoio - Notas Explicativas'!$Q:$Q,MATCH($C$162,'Apoio - Notas Explicativas'!$C:$C,0)),
IFERROR(VLOOKUP(Q$18,'Apoio - Posto'!$A:$AA,20,FALSE),
INDEX('Apoio - Notas Explicativas'!$Q:$Q,MATCH($C$162,'Apoio - Notas Explicativas'!$C:$C,0))
)))</f>
        <v/>
      </c>
      <c r="R163" s="809" t="str">
        <f>IF(R18="","",
IF($D$13="Simples",INDEX('Apoio - Notas Explicativas'!$Q:$Q,MATCH($C$162,'Apoio - Notas Explicativas'!$C:$C,0)),
IFERROR(VLOOKUP(R$18,'Apoio - Posto'!$A:$AA,20,FALSE),
INDEX('Apoio - Notas Explicativas'!$Q:$Q,MATCH($C$162,'Apoio - Notas Explicativas'!$C:$C,0))
)))</f>
        <v/>
      </c>
      <c r="S163" s="809" t="str">
        <f>IF(S18="","",
IF($D$13="Simples",INDEX('Apoio - Notas Explicativas'!$Q:$Q,MATCH($C$162,'Apoio - Notas Explicativas'!$C:$C,0)),
IFERROR(VLOOKUP(S$18,'Apoio - Posto'!$A:$AA,20,FALSE),
INDEX('Apoio - Notas Explicativas'!$Q:$Q,MATCH($C$162,'Apoio - Notas Explicativas'!$C:$C,0))
)))</f>
        <v/>
      </c>
      <c r="T163" s="809" t="str">
        <f>IF(T18="","",
IF($D$13="Simples",INDEX('Apoio - Notas Explicativas'!$Q:$Q,MATCH($C$162,'Apoio - Notas Explicativas'!$C:$C,0)),
IFERROR(VLOOKUP(T$18,'Apoio - Posto'!$A:$AA,20,FALSE),
INDEX('Apoio - Notas Explicativas'!$Q:$Q,MATCH($C$162,'Apoio - Notas Explicativas'!$C:$C,0))
)))</f>
        <v/>
      </c>
      <c r="U163" s="809" t="str">
        <f>IF(U18="","",
IF($D$13="Simples",INDEX('Apoio - Notas Explicativas'!$Q:$Q,MATCH($C$162,'Apoio - Notas Explicativas'!$C:$C,0)),
IFERROR(VLOOKUP(U$18,'Apoio - Posto'!$A:$AA,20,FALSE),
INDEX('Apoio - Notas Explicativas'!$Q:$Q,MATCH($C$162,'Apoio - Notas Explicativas'!$C:$C,0))
)))</f>
        <v/>
      </c>
      <c r="V163" s="809" t="str">
        <f>IF(V18="","",
IF($D$13="Simples",INDEX('Apoio - Notas Explicativas'!$Q:$Q,MATCH($C$162,'Apoio - Notas Explicativas'!$C:$C,0)),
IFERROR(VLOOKUP(V$18,'Apoio - Posto'!$A:$AA,20,FALSE),
INDEX('Apoio - Notas Explicativas'!$Q:$Q,MATCH($C$162,'Apoio - Notas Explicativas'!$C:$C,0))
)))</f>
        <v/>
      </c>
      <c r="W163" s="809" t="str">
        <f>IF(W18="","",
IF($D$13="Simples",INDEX('Apoio - Notas Explicativas'!$Q:$Q,MATCH($C$162,'Apoio - Notas Explicativas'!$C:$C,0)),
IFERROR(VLOOKUP(W$18,'Apoio - Posto'!$A:$AA,20,FALSE),
INDEX('Apoio - Notas Explicativas'!$Q:$Q,MATCH($C$162,'Apoio - Notas Explicativas'!$C:$C,0))
)))</f>
        <v/>
      </c>
      <c r="X163" s="809" t="str">
        <f>IF(X18="","",
IF($D$13="Simples",INDEX('Apoio - Notas Explicativas'!$Q:$Q,MATCH($C$162,'Apoio - Notas Explicativas'!$C:$C,0)),
IFERROR(VLOOKUP(X$18,'Apoio - Posto'!$A:$AA,20,FALSE),
INDEX('Apoio - Notas Explicativas'!$Q:$Q,MATCH($C$162,'Apoio - Notas Explicativas'!$C:$C,0))
)))</f>
        <v/>
      </c>
      <c r="Y163" s="809" t="str">
        <f>IF(Y18="","",
IF($D$13="Simples",INDEX('Apoio - Notas Explicativas'!$Q:$Q,MATCH($C$162,'Apoio - Notas Explicativas'!$C:$C,0)),
IFERROR(VLOOKUP(Y$18,'Apoio - Posto'!$A:$AA,20,FALSE),
INDEX('Apoio - Notas Explicativas'!$Q:$Q,MATCH($C$162,'Apoio - Notas Explicativas'!$C:$C,0))
)))</f>
        <v/>
      </c>
      <c r="Z163" s="809" t="str">
        <f>IF(Z18="","",
IF($D$13="Simples",INDEX('Apoio - Notas Explicativas'!$Q:$Q,MATCH($C$162,'Apoio - Notas Explicativas'!$C:$C,0)),
IFERROR(VLOOKUP(Z$18,'Apoio - Posto'!$A:$AA,20,FALSE),
INDEX('Apoio - Notas Explicativas'!$Q:$Q,MATCH($C$162,'Apoio - Notas Explicativas'!$C:$C,0))
)))</f>
        <v/>
      </c>
      <c r="AA163" s="809" t="str">
        <f>IF(AA18="","",
IF($D$13="Simples",INDEX('Apoio - Notas Explicativas'!$Q:$Q,MATCH($C$162,'Apoio - Notas Explicativas'!$C:$C,0)),
IFERROR(VLOOKUP(AA$18,'Apoio - Posto'!$A:$AA,20,FALSE),
INDEX('Apoio - Notas Explicativas'!$Q:$Q,MATCH($C$162,'Apoio - Notas Explicativas'!$C:$C,0))
)))</f>
        <v/>
      </c>
      <c r="AB163" s="809" t="str">
        <f>IF(AB18="","",
IF($D$13="Simples",INDEX('Apoio - Notas Explicativas'!$Q:$Q,MATCH($C$162,'Apoio - Notas Explicativas'!$C:$C,0)),
IFERROR(VLOOKUP(AB$18,'Apoio - Posto'!$A:$AA,20,FALSE),
INDEX('Apoio - Notas Explicativas'!$Q:$Q,MATCH($C$162,'Apoio - Notas Explicativas'!$C:$C,0))
)))</f>
        <v/>
      </c>
      <c r="AC163" s="809" t="str">
        <f>IF(AC18="","",
IF($D$13="Simples",INDEX('Apoio - Notas Explicativas'!$Q:$Q,MATCH($C$162,'Apoio - Notas Explicativas'!$C:$C,0)),
IFERROR(VLOOKUP(AC$18,'Apoio - Posto'!$A:$AA,20,FALSE),
INDEX('Apoio - Notas Explicativas'!$Q:$Q,MATCH($C$162,'Apoio - Notas Explicativas'!$C:$C,0))
)))</f>
        <v/>
      </c>
      <c r="AD163" s="809" t="str">
        <f>IF(AD18="","",
IF($D$13="Simples",INDEX('Apoio - Notas Explicativas'!$Q:$Q,MATCH($C$162,'Apoio - Notas Explicativas'!$C:$C,0)),
IFERROR(VLOOKUP(AD$18,'Apoio - Posto'!$A:$AA,20,FALSE),
INDEX('Apoio - Notas Explicativas'!$Q:$Q,MATCH($C$162,'Apoio - Notas Explicativas'!$C:$C,0))
)))</f>
        <v/>
      </c>
    </row>
    <row r="164" spans="1:30">
      <c r="A164" s="801"/>
      <c r="B164" s="867"/>
      <c r="C164" s="709"/>
      <c r="D164" s="806" t="s">
        <v>43</v>
      </c>
      <c r="E164" s="710">
        <f>IF(E20="","",IFERROR(ROUND(SUM(E$157,E$61,E$114,E$123,E$145,E$150)*E163/(1-SUM($D$160:$D$165,E163)),2),""))</f>
        <v>323.04000000000002</v>
      </c>
      <c r="F164" s="710">
        <f t="shared" ref="F164:H164" si="150">IF(F20="","",IFERROR(ROUND(SUM(F$157,F$61,F$114,F$123,F$145,F$150)*F163/(1-SUM($D$160:$D$165,F163)),2),""))</f>
        <v>387.22</v>
      </c>
      <c r="G164" s="710" t="str">
        <f t="shared" si="150"/>
        <v/>
      </c>
      <c r="H164" s="710" t="str">
        <f t="shared" si="150"/>
        <v/>
      </c>
      <c r="I164" s="710" t="str">
        <f t="shared" ref="I164:N164" si="151">IF(I20="","",IFERROR(ROUND(SUM(I$157,I$61,I$114,I$123,I$145,I$150)*I163/(1-SUM($D$160:$D$165,I163)),2),""))</f>
        <v/>
      </c>
      <c r="J164" s="710" t="str">
        <f t="shared" si="151"/>
        <v/>
      </c>
      <c r="K164" s="710" t="str">
        <f t="shared" si="151"/>
        <v/>
      </c>
      <c r="L164" s="710" t="str">
        <f t="shared" si="151"/>
        <v/>
      </c>
      <c r="M164" s="710" t="str">
        <f t="shared" si="151"/>
        <v/>
      </c>
      <c r="N164" s="710" t="str">
        <f t="shared" si="151"/>
        <v/>
      </c>
      <c r="O164" s="710" t="str">
        <f t="shared" ref="O164:AD164" si="152">IF(O20="","",IFERROR(ROUND(SUM(O$157,O$61,O$114,O$123,O$145,O$150)*O163/(1-SUM($D$160:$D$165,O163)),2),""))</f>
        <v/>
      </c>
      <c r="P164" s="710" t="str">
        <f t="shared" si="152"/>
        <v/>
      </c>
      <c r="Q164" s="710" t="str">
        <f t="shared" si="152"/>
        <v/>
      </c>
      <c r="R164" s="710" t="str">
        <f t="shared" si="152"/>
        <v/>
      </c>
      <c r="S164" s="710" t="str">
        <f t="shared" si="152"/>
        <v/>
      </c>
      <c r="T164" s="710" t="str">
        <f t="shared" si="152"/>
        <v/>
      </c>
      <c r="U164" s="710" t="str">
        <f t="shared" si="152"/>
        <v/>
      </c>
      <c r="V164" s="710" t="str">
        <f t="shared" si="152"/>
        <v/>
      </c>
      <c r="W164" s="710" t="str">
        <f t="shared" si="152"/>
        <v/>
      </c>
      <c r="X164" s="710" t="str">
        <f t="shared" si="152"/>
        <v/>
      </c>
      <c r="Y164" s="710" t="str">
        <f t="shared" si="152"/>
        <v/>
      </c>
      <c r="Z164" s="710" t="str">
        <f t="shared" si="152"/>
        <v/>
      </c>
      <c r="AA164" s="710" t="str">
        <f t="shared" si="152"/>
        <v/>
      </c>
      <c r="AB164" s="710" t="str">
        <f t="shared" si="152"/>
        <v/>
      </c>
      <c r="AC164" s="710" t="str">
        <f t="shared" si="152"/>
        <v/>
      </c>
      <c r="AD164" s="710" t="str">
        <f t="shared" si="152"/>
        <v/>
      </c>
    </row>
    <row r="165" spans="1:30">
      <c r="A165" s="801"/>
      <c r="B165" s="595" t="s">
        <v>3</v>
      </c>
      <c r="C165" s="709" t="s">
        <v>390</v>
      </c>
      <c r="D165" s="807">
        <v>0</v>
      </c>
      <c r="E165" s="683">
        <f>IF(E21="","",IFERROR(ROUND(SUM(E$157,E$61,E$114,E$123,E$145,E$150)*$D165/(1-SUM($D$160:$D$165,E$163)),2),""))</f>
        <v>0</v>
      </c>
      <c r="F165" s="683">
        <f t="shared" ref="F165:H165" si="153">IF(F21="","",IFERROR(ROUND(SUM(F$157,F$61,F$114,F$123,F$145,F$150)*$D165/(1-SUM($D$160:$D$165,F$163)),2),""))</f>
        <v>0</v>
      </c>
      <c r="G165" s="683" t="str">
        <f t="shared" si="153"/>
        <v/>
      </c>
      <c r="H165" s="683" t="str">
        <f t="shared" si="153"/>
        <v/>
      </c>
      <c r="I165" s="683" t="str">
        <f t="shared" ref="I165:N165" si="154">IF(I21="","",IFERROR(ROUND(SUM(I$157,I$61,I$114,I$123,I$145,I$150)*$D165/(1-SUM($D$160:$D$165,I$163)),2),""))</f>
        <v/>
      </c>
      <c r="J165" s="683" t="str">
        <f t="shared" si="154"/>
        <v/>
      </c>
      <c r="K165" s="683" t="str">
        <f t="shared" si="154"/>
        <v/>
      </c>
      <c r="L165" s="683" t="str">
        <f t="shared" si="154"/>
        <v/>
      </c>
      <c r="M165" s="683" t="str">
        <f t="shared" si="154"/>
        <v/>
      </c>
      <c r="N165" s="683" t="str">
        <f t="shared" si="154"/>
        <v/>
      </c>
      <c r="O165" s="683" t="str">
        <f t="shared" ref="O165:AD165" si="155">IF(O21="","",IFERROR(ROUND(SUM(O$157,O$61,O$114,O$123,O$145,O$150)*$D165/(1-SUM($D$160:$D$165,O$163)),2),""))</f>
        <v/>
      </c>
      <c r="P165" s="683" t="str">
        <f t="shared" si="155"/>
        <v/>
      </c>
      <c r="Q165" s="683" t="str">
        <f t="shared" si="155"/>
        <v/>
      </c>
      <c r="R165" s="683" t="str">
        <f t="shared" si="155"/>
        <v/>
      </c>
      <c r="S165" s="683" t="str">
        <f t="shared" si="155"/>
        <v/>
      </c>
      <c r="T165" s="683" t="str">
        <f t="shared" si="155"/>
        <v/>
      </c>
      <c r="U165" s="683" t="str">
        <f t="shared" si="155"/>
        <v/>
      </c>
      <c r="V165" s="683" t="str">
        <f t="shared" si="155"/>
        <v/>
      </c>
      <c r="W165" s="683" t="str">
        <f t="shared" si="155"/>
        <v/>
      </c>
      <c r="X165" s="683" t="str">
        <f t="shared" si="155"/>
        <v/>
      </c>
      <c r="Y165" s="683" t="str">
        <f t="shared" si="155"/>
        <v/>
      </c>
      <c r="Z165" s="683" t="str">
        <f t="shared" si="155"/>
        <v/>
      </c>
      <c r="AA165" s="683" t="str">
        <f t="shared" si="155"/>
        <v/>
      </c>
      <c r="AB165" s="683" t="str">
        <f t="shared" si="155"/>
        <v/>
      </c>
      <c r="AC165" s="683" t="str">
        <f t="shared" si="155"/>
        <v/>
      </c>
      <c r="AD165" s="683" t="str">
        <f t="shared" si="155"/>
        <v/>
      </c>
    </row>
    <row r="166" spans="1:30" s="5" customFormat="1">
      <c r="A166" s="746"/>
      <c r="B166" s="538"/>
      <c r="C166" s="539" t="s">
        <v>283</v>
      </c>
      <c r="D166" s="747"/>
      <c r="E166" s="795">
        <f>IF(E18="","",SUM(E160:E161,E164:E165))</f>
        <v>558.87</v>
      </c>
      <c r="F166" s="795">
        <f t="shared" ref="F166:H166" si="156">IF(F18="","",SUM(F160:F161,F164:F165))</f>
        <v>669.8900000000001</v>
      </c>
      <c r="G166" s="795" t="str">
        <f t="shared" si="156"/>
        <v/>
      </c>
      <c r="H166" s="795" t="str">
        <f t="shared" si="156"/>
        <v/>
      </c>
      <c r="I166" s="795" t="str">
        <f t="shared" ref="I166:N166" si="157">IF(I18="","",SUM(I160:I161,I164:I165))</f>
        <v/>
      </c>
      <c r="J166" s="795" t="str">
        <f t="shared" si="157"/>
        <v/>
      </c>
      <c r="K166" s="795" t="str">
        <f t="shared" si="157"/>
        <v/>
      </c>
      <c r="L166" s="795" t="str">
        <f t="shared" si="157"/>
        <v/>
      </c>
      <c r="M166" s="795" t="str">
        <f t="shared" si="157"/>
        <v/>
      </c>
      <c r="N166" s="795" t="str">
        <f t="shared" si="157"/>
        <v/>
      </c>
      <c r="O166" s="795" t="str">
        <f t="shared" ref="O166:AD166" si="158">IF(O18="","",SUM(O160:O161,O164:O165))</f>
        <v/>
      </c>
      <c r="P166" s="795" t="str">
        <f t="shared" si="158"/>
        <v/>
      </c>
      <c r="Q166" s="795" t="str">
        <f t="shared" si="158"/>
        <v/>
      </c>
      <c r="R166" s="795" t="str">
        <f t="shared" si="158"/>
        <v/>
      </c>
      <c r="S166" s="795" t="str">
        <f t="shared" si="158"/>
        <v/>
      </c>
      <c r="T166" s="795" t="str">
        <f t="shared" si="158"/>
        <v/>
      </c>
      <c r="U166" s="795" t="str">
        <f t="shared" si="158"/>
        <v/>
      </c>
      <c r="V166" s="795" t="str">
        <f t="shared" si="158"/>
        <v/>
      </c>
      <c r="W166" s="795" t="str">
        <f t="shared" si="158"/>
        <v/>
      </c>
      <c r="X166" s="795" t="str">
        <f t="shared" si="158"/>
        <v/>
      </c>
      <c r="Y166" s="795" t="str">
        <f t="shared" si="158"/>
        <v/>
      </c>
      <c r="Z166" s="795" t="str">
        <f t="shared" si="158"/>
        <v/>
      </c>
      <c r="AA166" s="795" t="str">
        <f t="shared" si="158"/>
        <v/>
      </c>
      <c r="AB166" s="795" t="str">
        <f t="shared" si="158"/>
        <v/>
      </c>
      <c r="AC166" s="795" t="str">
        <f t="shared" si="158"/>
        <v/>
      </c>
      <c r="AD166" s="795" t="str">
        <f t="shared" si="158"/>
        <v/>
      </c>
    </row>
    <row r="167" spans="1:30" customFormat="1" ht="3.75" customHeight="1"/>
    <row r="168" spans="1:30" s="5" customFormat="1">
      <c r="A168" s="733"/>
      <c r="B168" s="529"/>
      <c r="C168" s="517" t="s">
        <v>271</v>
      </c>
      <c r="D168" s="734"/>
      <c r="E168" s="735">
        <f>IF(E18="","",SUM(E166,E157))</f>
        <v>1350.4499999999998</v>
      </c>
      <c r="F168" s="735">
        <f t="shared" ref="F168:H168" si="159">IF(F18="","",SUM(F166,F157))</f>
        <v>1618.72</v>
      </c>
      <c r="G168" s="735" t="str">
        <f t="shared" si="159"/>
        <v/>
      </c>
      <c r="H168" s="735" t="str">
        <f t="shared" si="159"/>
        <v/>
      </c>
      <c r="I168" s="735" t="str">
        <f t="shared" ref="I168:N168" si="160">IF(I18="","",SUM(I166,I157))</f>
        <v/>
      </c>
      <c r="J168" s="735" t="str">
        <f t="shared" si="160"/>
        <v/>
      </c>
      <c r="K168" s="735" t="str">
        <f t="shared" si="160"/>
        <v/>
      </c>
      <c r="L168" s="735" t="str">
        <f t="shared" si="160"/>
        <v/>
      </c>
      <c r="M168" s="735" t="str">
        <f t="shared" si="160"/>
        <v/>
      </c>
      <c r="N168" s="735" t="str">
        <f t="shared" si="160"/>
        <v/>
      </c>
      <c r="O168" s="735" t="str">
        <f t="shared" ref="O168:AD168" si="161">IF(O18="","",SUM(O166,O157))</f>
        <v/>
      </c>
      <c r="P168" s="735" t="str">
        <f t="shared" si="161"/>
        <v/>
      </c>
      <c r="Q168" s="735" t="str">
        <f t="shared" si="161"/>
        <v/>
      </c>
      <c r="R168" s="735" t="str">
        <f t="shared" si="161"/>
        <v/>
      </c>
      <c r="S168" s="735" t="str">
        <f t="shared" si="161"/>
        <v/>
      </c>
      <c r="T168" s="735" t="str">
        <f t="shared" si="161"/>
        <v/>
      </c>
      <c r="U168" s="735" t="str">
        <f t="shared" si="161"/>
        <v/>
      </c>
      <c r="V168" s="735" t="str">
        <f t="shared" si="161"/>
        <v/>
      </c>
      <c r="W168" s="735" t="str">
        <f t="shared" si="161"/>
        <v/>
      </c>
      <c r="X168" s="735" t="str">
        <f t="shared" si="161"/>
        <v/>
      </c>
      <c r="Y168" s="735" t="str">
        <f t="shared" si="161"/>
        <v/>
      </c>
      <c r="Z168" s="735" t="str">
        <f t="shared" si="161"/>
        <v/>
      </c>
      <c r="AA168" s="735" t="str">
        <f t="shared" si="161"/>
        <v/>
      </c>
      <c r="AB168" s="735" t="str">
        <f t="shared" si="161"/>
        <v/>
      </c>
      <c r="AC168" s="735" t="str">
        <f t="shared" si="161"/>
        <v/>
      </c>
      <c r="AD168" s="735" t="str">
        <f t="shared" si="161"/>
        <v/>
      </c>
    </row>
    <row r="169" spans="1:30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6" customFormat="1">
      <c r="A170" s="739"/>
      <c r="B170" s="477"/>
      <c r="C170" s="517" t="s">
        <v>467</v>
      </c>
      <c r="D170" s="678"/>
      <c r="E170" s="402"/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</row>
    <row r="171" spans="1:30" ht="3.75" customHeight="1">
      <c r="A171" s="29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291"/>
      <c r="B172" s="538"/>
      <c r="C172" s="539" t="s">
        <v>532</v>
      </c>
      <c r="D172" s="541"/>
      <c r="E172" s="810"/>
      <c r="F172" s="810"/>
      <c r="G172" s="810"/>
      <c r="H172" s="810"/>
      <c r="I172" s="810"/>
      <c r="J172" s="810"/>
      <c r="K172" s="810"/>
      <c r="L172" s="810"/>
      <c r="M172" s="810"/>
      <c r="N172" s="810"/>
      <c r="O172" s="810"/>
      <c r="P172" s="810"/>
      <c r="Q172" s="810"/>
      <c r="R172" s="810"/>
      <c r="S172" s="810"/>
      <c r="T172" s="810"/>
      <c r="U172" s="810"/>
      <c r="V172" s="810"/>
      <c r="W172" s="810"/>
      <c r="X172" s="810"/>
      <c r="Y172" s="810"/>
      <c r="Z172" s="810"/>
      <c r="AA172" s="810"/>
      <c r="AB172" s="810"/>
      <c r="AC172" s="810"/>
      <c r="AD172" s="810"/>
    </row>
    <row r="173" spans="1:30">
      <c r="A173" s="811"/>
      <c r="B173" s="595" t="s">
        <v>2</v>
      </c>
      <c r="C173" s="709" t="s">
        <v>468</v>
      </c>
      <c r="D173" s="744"/>
      <c r="E173" s="683">
        <f>IFERROR(IF(E18="","",ROUND(E175/SUM(E52,INDEX('Apoio - Regime de Trabalho'!$I:$I,MATCH(E26,'Apoio - Regime de Trabalho'!$A:$A,0))),2)),"")</f>
        <v>35.89</v>
      </c>
      <c r="F173" s="683">
        <f>IFERROR(IF(F18="","",ROUND(F175/SUM(F52,INDEX('Apoio - Regime de Trabalho'!$I:$I,MATCH(F26,'Apoio - Regime de Trabalho'!$A:$A,0))),2)),"")</f>
        <v>43.02</v>
      </c>
      <c r="G173" s="683" t="str">
        <f>IFERROR(IF(G18="","",ROUND(G175/SUM(G52,INDEX('Apoio - Regime de Trabalho'!$I:$I,MATCH(G26,'Apoio - Regime de Trabalho'!$A:$A,0))),2)),"")</f>
        <v/>
      </c>
      <c r="H173" s="683" t="str">
        <f>IFERROR(IF(H18="","",ROUND(H175/SUM(H52,INDEX('Apoio - Regime de Trabalho'!$I:$I,MATCH(H26,'Apoio - Regime de Trabalho'!$A:$A,0))),2)),"")</f>
        <v/>
      </c>
      <c r="I173" s="683" t="str">
        <f>IFERROR(IF(I18="","",ROUND(I175/SUM(I52,INDEX('Apoio - Regime de Trabalho'!$I:$I,MATCH(I26,'Apoio - Regime de Trabalho'!$A:$A,0))),2)),"")</f>
        <v/>
      </c>
      <c r="J173" s="683" t="str">
        <f>IFERROR(IF(J18="","",ROUND(J175/SUM(J52,INDEX('Apoio - Regime de Trabalho'!$I:$I,MATCH(J26,'Apoio - Regime de Trabalho'!$A:$A,0))),2)),"")</f>
        <v/>
      </c>
      <c r="K173" s="683" t="str">
        <f>IFERROR(IF(K18="","",ROUND(K175/SUM(K52,INDEX('Apoio - Regime de Trabalho'!$I:$I,MATCH(K26,'Apoio - Regime de Trabalho'!$A:$A,0))),2)),"")</f>
        <v/>
      </c>
      <c r="L173" s="683" t="str">
        <f>IFERROR(IF(L18="","",ROUND(L175/SUM(L52,INDEX('Apoio - Regime de Trabalho'!$I:$I,MATCH(L26,'Apoio - Regime de Trabalho'!$A:$A,0))),2)),"")</f>
        <v/>
      </c>
      <c r="M173" s="683" t="str">
        <f>IFERROR(IF(M18="","",ROUND(M175/SUM(M52,INDEX('Apoio - Regime de Trabalho'!$I:$I,MATCH(M26,'Apoio - Regime de Trabalho'!$A:$A,0))),2)),"")</f>
        <v/>
      </c>
      <c r="N173" s="683" t="str">
        <f>IFERROR(IF(N18="","",ROUND(N175/SUM(N52,INDEX('Apoio - Regime de Trabalho'!$I:$I,MATCH(N26,'Apoio - Regime de Trabalho'!$A:$A,0))),2)),"")</f>
        <v/>
      </c>
      <c r="O173" s="683" t="str">
        <f>IFERROR(IF(O18="","",ROUND(O175/SUM(O52,INDEX('Apoio - Regime de Trabalho'!$I:$I,MATCH(O26,'Apoio - Regime de Trabalho'!$A:$A,0))),2)),"")</f>
        <v/>
      </c>
      <c r="P173" s="683" t="str">
        <f>IFERROR(IF(P18="","",ROUND(P175/SUM(P52,INDEX('Apoio - Regime de Trabalho'!$I:$I,MATCH(P26,'Apoio - Regime de Trabalho'!$A:$A,0))),2)),"")</f>
        <v/>
      </c>
      <c r="Q173" s="683" t="str">
        <f>IFERROR(IF(Q18="","",ROUND(Q175/SUM(Q52,INDEX('Apoio - Regime de Trabalho'!$I:$I,MATCH(Q26,'Apoio - Regime de Trabalho'!$A:$A,0))),2)),"")</f>
        <v/>
      </c>
      <c r="R173" s="683" t="str">
        <f>IFERROR(IF(R18="","",ROUND(R175/SUM(R52,INDEX('Apoio - Regime de Trabalho'!$I:$I,MATCH(R26,'Apoio - Regime de Trabalho'!$A:$A,0))),2)),"")</f>
        <v/>
      </c>
      <c r="S173" s="683" t="str">
        <f>IFERROR(IF(S18="","",ROUND(S175/SUM(S52,INDEX('Apoio - Regime de Trabalho'!$I:$I,MATCH(S26,'Apoio - Regime de Trabalho'!$A:$A,0))),2)),"")</f>
        <v/>
      </c>
      <c r="T173" s="683" t="str">
        <f>IFERROR(IF(T18="","",ROUND(T175/SUM(T52,INDEX('Apoio - Regime de Trabalho'!$I:$I,MATCH(T26,'Apoio - Regime de Trabalho'!$A:$A,0))),2)),"")</f>
        <v/>
      </c>
      <c r="U173" s="683" t="str">
        <f>IFERROR(IF(U18="","",ROUND(U175/SUM(U52,INDEX('Apoio - Regime de Trabalho'!$I:$I,MATCH(U26,'Apoio - Regime de Trabalho'!$A:$A,0))),2)),"")</f>
        <v/>
      </c>
      <c r="V173" s="683" t="str">
        <f>IFERROR(IF(V18="","",ROUND(V175/SUM(V52,INDEX('Apoio - Regime de Trabalho'!$I:$I,MATCH(V26,'Apoio - Regime de Trabalho'!$A:$A,0))),2)),"")</f>
        <v/>
      </c>
      <c r="W173" s="683" t="str">
        <f>IFERROR(IF(W18="","",ROUND(W175/SUM(W52,INDEX('Apoio - Regime de Trabalho'!$I:$I,MATCH(W26,'Apoio - Regime de Trabalho'!$A:$A,0))),2)),"")</f>
        <v/>
      </c>
      <c r="X173" s="683" t="str">
        <f>IFERROR(IF(X18="","",ROUND(X175/SUM(X52,INDEX('Apoio - Regime de Trabalho'!$I:$I,MATCH(X26,'Apoio - Regime de Trabalho'!$A:$A,0))),2)),"")</f>
        <v/>
      </c>
      <c r="Y173" s="683" t="str">
        <f>IFERROR(IF(Y18="","",ROUND(Y175/SUM(Y52,INDEX('Apoio - Regime de Trabalho'!$I:$I,MATCH(Y26,'Apoio - Regime de Trabalho'!$A:$A,0))),2)),"")</f>
        <v/>
      </c>
      <c r="Z173" s="683" t="str">
        <f>IFERROR(IF(Z18="","",ROUND(Z175/SUM(Z52,INDEX('Apoio - Regime de Trabalho'!$I:$I,MATCH(Z26,'Apoio - Regime de Trabalho'!$A:$A,0))),2)),"")</f>
        <v/>
      </c>
      <c r="AA173" s="683" t="str">
        <f>IFERROR(IF(AA18="","",ROUND(AA175/SUM(AA52,INDEX('Apoio - Regime de Trabalho'!$I:$I,MATCH(AA26,'Apoio - Regime de Trabalho'!$A:$A,0))),2)),"")</f>
        <v/>
      </c>
      <c r="AB173" s="683" t="str">
        <f>IFERROR(IF(AB18="","",ROUND(AB175/SUM(AB52,INDEX('Apoio - Regime de Trabalho'!$I:$I,MATCH(AB26,'Apoio - Regime de Trabalho'!$A:$A,0))),2)),"")</f>
        <v/>
      </c>
      <c r="AC173" s="683" t="str">
        <f>IFERROR(IF(AC18="","",ROUND(AC175/SUM(AC52,INDEX('Apoio - Regime de Trabalho'!$I:$I,MATCH(AC26,'Apoio - Regime de Trabalho'!$A:$A,0))),2)),"")</f>
        <v/>
      </c>
      <c r="AD173" s="683" t="str">
        <f>IFERROR(IF(AD18="","",ROUND(AD175/SUM(AD52,INDEX('Apoio - Regime de Trabalho'!$I:$I,MATCH(AD26,'Apoio - Regime de Trabalho'!$A:$A,0))),2)),"")</f>
        <v/>
      </c>
    </row>
    <row r="174" spans="1:30">
      <c r="A174" s="811"/>
      <c r="B174" s="595" t="s">
        <v>1</v>
      </c>
      <c r="C174" s="709" t="s">
        <v>472</v>
      </c>
      <c r="D174" s="744"/>
      <c r="E174" s="683">
        <f>IF(E18="","",ROUND(SUM(E61,E114,E123,E145,E150,E168)/INDEX('Apoio - Regime de Trabalho'!$G:$G,MATCH(E26,'Apoio - Regime de Trabalho'!$A:$A,0)),2))</f>
        <v>430.72</v>
      </c>
      <c r="F174" s="683">
        <f>IF(F18="","",ROUND(SUM(F61,F114,F123,F145,F150,F168)/INDEX('Apoio - Regime de Trabalho'!$G:$G,MATCH(F26,'Apoio - Regime de Trabalho'!$A:$A,0)),2))</f>
        <v>516.29</v>
      </c>
      <c r="G174" s="683" t="str">
        <f>IF(G18="","",ROUND(SUM(G61,G114,G123,G145,G150,G168)/INDEX('Apoio - Regime de Trabalho'!$G:$G,MATCH(G26,'Apoio - Regime de Trabalho'!$A:$A,0)),2))</f>
        <v/>
      </c>
      <c r="H174" s="683" t="str">
        <f>IF(H18="","",ROUND(SUM(H61,H114,H123,H145,H150,H168)/INDEX('Apoio - Regime de Trabalho'!$G:$G,MATCH(H26,'Apoio - Regime de Trabalho'!$A:$A,0)),2))</f>
        <v/>
      </c>
      <c r="I174" s="683" t="str">
        <f>IF(I18="","",ROUND(SUM(I61,I114,I123,I145,I150,I168)/INDEX('Apoio - Regime de Trabalho'!$G:$G,MATCH(I26,'Apoio - Regime de Trabalho'!$A:$A,0)),2))</f>
        <v/>
      </c>
      <c r="J174" s="683" t="str">
        <f>IF(J18="","",ROUND(SUM(J61,J114,J123,J145,J150,J168)/INDEX('Apoio - Regime de Trabalho'!$G:$G,MATCH(J26,'Apoio - Regime de Trabalho'!$A:$A,0)),2))</f>
        <v/>
      </c>
      <c r="K174" s="683" t="str">
        <f>IF(K18="","",ROUND(SUM(K61,K114,K123,K145,K150,K168)/INDEX('Apoio - Regime de Trabalho'!$G:$G,MATCH(K26,'Apoio - Regime de Trabalho'!$A:$A,0)),2))</f>
        <v/>
      </c>
      <c r="L174" s="683" t="str">
        <f>IF(L18="","",ROUND(SUM(L61,L114,L123,L145,L150,L168)/INDEX('Apoio - Regime de Trabalho'!$G:$G,MATCH(L26,'Apoio - Regime de Trabalho'!$A:$A,0)),2))</f>
        <v/>
      </c>
      <c r="M174" s="683" t="str">
        <f>IF(M18="","",ROUND(SUM(M61,M114,M123,M145,M150,M168)/INDEX('Apoio - Regime de Trabalho'!$G:$G,MATCH(M26,'Apoio - Regime de Trabalho'!$A:$A,0)),2))</f>
        <v/>
      </c>
      <c r="N174" s="683" t="str">
        <f>IF(N18="","",ROUND(SUM(N61,N114,N123,N145,N150,N168)/INDEX('Apoio - Regime de Trabalho'!$G:$G,MATCH(N26,'Apoio - Regime de Trabalho'!$A:$A,0)),2))</f>
        <v/>
      </c>
      <c r="O174" s="683" t="str">
        <f>IF(O18="","",ROUND(SUM(O61,O114,O123,O145,O150,O168)/INDEX('Apoio - Regime de Trabalho'!$G:$G,MATCH(O26,'Apoio - Regime de Trabalho'!$A:$A,0)),2))</f>
        <v/>
      </c>
      <c r="P174" s="683" t="str">
        <f>IF(P18="","",ROUND(SUM(P61,P114,P123,P145,P150,P168)/INDEX('Apoio - Regime de Trabalho'!$G:$G,MATCH(P26,'Apoio - Regime de Trabalho'!$A:$A,0)),2))</f>
        <v/>
      </c>
      <c r="Q174" s="683" t="str">
        <f>IF(Q18="","",ROUND(SUM(Q61,Q114,Q123,Q145,Q150,Q168)/INDEX('Apoio - Regime de Trabalho'!$G:$G,MATCH(Q26,'Apoio - Regime de Trabalho'!$A:$A,0)),2))</f>
        <v/>
      </c>
      <c r="R174" s="683" t="str">
        <f>IF(R18="","",ROUND(SUM(R61,R114,R123,R145,R150,R168)/INDEX('Apoio - Regime de Trabalho'!$G:$G,MATCH(R26,'Apoio - Regime de Trabalho'!$A:$A,0)),2))</f>
        <v/>
      </c>
      <c r="S174" s="683" t="str">
        <f>IF(S18="","",ROUND(SUM(S61,S114,S123,S145,S150,S168)/INDEX('Apoio - Regime de Trabalho'!$G:$G,MATCH(S26,'Apoio - Regime de Trabalho'!$A:$A,0)),2))</f>
        <v/>
      </c>
      <c r="T174" s="683" t="str">
        <f>IF(T18="","",ROUND(SUM(T61,T114,T123,T145,T150,T168)/INDEX('Apoio - Regime de Trabalho'!$G:$G,MATCH(T26,'Apoio - Regime de Trabalho'!$A:$A,0)),2))</f>
        <v/>
      </c>
      <c r="U174" s="683" t="str">
        <f>IF(U18="","",ROUND(SUM(U61,U114,U123,U145,U150,U168)/INDEX('Apoio - Regime de Trabalho'!$G:$G,MATCH(U26,'Apoio - Regime de Trabalho'!$A:$A,0)),2))</f>
        <v/>
      </c>
      <c r="V174" s="683" t="str">
        <f>IF(V18="","",ROUND(SUM(V61,V114,V123,V145,V150,V168)/INDEX('Apoio - Regime de Trabalho'!$G:$G,MATCH(V26,'Apoio - Regime de Trabalho'!$A:$A,0)),2))</f>
        <v/>
      </c>
      <c r="W174" s="683" t="str">
        <f>IF(W18="","",ROUND(SUM(W61,W114,W123,W145,W150,W168)/INDEX('Apoio - Regime de Trabalho'!$G:$G,MATCH(W26,'Apoio - Regime de Trabalho'!$A:$A,0)),2))</f>
        <v/>
      </c>
      <c r="X174" s="683" t="str">
        <f>IF(X18="","",ROUND(SUM(X61,X114,X123,X145,X150,X168)/INDEX('Apoio - Regime de Trabalho'!$G:$G,MATCH(X26,'Apoio - Regime de Trabalho'!$A:$A,0)),2))</f>
        <v/>
      </c>
      <c r="Y174" s="683" t="str">
        <f>IF(Y18="","",ROUND(SUM(Y61,Y114,Y123,Y145,Y150,Y168)/INDEX('Apoio - Regime de Trabalho'!$G:$G,MATCH(Y26,'Apoio - Regime de Trabalho'!$A:$A,0)),2))</f>
        <v/>
      </c>
      <c r="Z174" s="683" t="str">
        <f>IF(Z18="","",ROUND(SUM(Z61,Z114,Z123,Z145,Z150,Z168)/INDEX('Apoio - Regime de Trabalho'!$G:$G,MATCH(Z26,'Apoio - Regime de Trabalho'!$A:$A,0)),2))</f>
        <v/>
      </c>
      <c r="AA174" s="683" t="str">
        <f>IF(AA18="","",ROUND(SUM(AA61,AA114,AA123,AA145,AA150,AA168)/INDEX('Apoio - Regime de Trabalho'!$G:$G,MATCH(AA26,'Apoio - Regime de Trabalho'!$A:$A,0)),2))</f>
        <v/>
      </c>
      <c r="AB174" s="683" t="str">
        <f>IF(AB18="","",ROUND(SUM(AB61,AB114,AB123,AB145,AB150,AB168)/INDEX('Apoio - Regime de Trabalho'!$G:$G,MATCH(AB26,'Apoio - Regime de Trabalho'!$A:$A,0)),2))</f>
        <v/>
      </c>
      <c r="AC174" s="683" t="str">
        <f>IF(AC18="","",ROUND(SUM(AC61,AC114,AC123,AC145,AC150,AC168)/INDEX('Apoio - Regime de Trabalho'!$G:$G,MATCH(AC26,'Apoio - Regime de Trabalho'!$A:$A,0)),2))</f>
        <v/>
      </c>
      <c r="AD174" s="683" t="str">
        <f>IF(AD18="","",ROUND(SUM(AD61,AD114,AD123,AD145,AD150,AD168)/INDEX('Apoio - Regime de Trabalho'!$G:$G,MATCH(AD26,'Apoio - Regime de Trabalho'!$A:$A,0)),2))</f>
        <v/>
      </c>
    </row>
    <row r="175" spans="1:30">
      <c r="A175" s="811"/>
      <c r="B175" s="595" t="s">
        <v>0</v>
      </c>
      <c r="C175" s="709" t="s">
        <v>535</v>
      </c>
      <c r="D175" s="744"/>
      <c r="E175" s="683">
        <f>IF(E18="","",ROUND(SUM(E61,E114,E123,E145,E150,E168),2))</f>
        <v>6460.86</v>
      </c>
      <c r="F175" s="683">
        <f t="shared" ref="F175:H175" si="162">IF(F18="","",ROUND(SUM(F61,F114,F123,F145,F150,F168),2))</f>
        <v>7744.41</v>
      </c>
      <c r="G175" s="683" t="str">
        <f t="shared" si="162"/>
        <v/>
      </c>
      <c r="H175" s="683" t="str">
        <f t="shared" si="162"/>
        <v/>
      </c>
      <c r="I175" s="683" t="str">
        <f t="shared" ref="I175:N175" si="163">IF(I18="","",ROUND(SUM(I61,I114,I123,I145,I150,I168),2))</f>
        <v/>
      </c>
      <c r="J175" s="683" t="str">
        <f t="shared" si="163"/>
        <v/>
      </c>
      <c r="K175" s="683" t="str">
        <f t="shared" si="163"/>
        <v/>
      </c>
      <c r="L175" s="683" t="str">
        <f t="shared" si="163"/>
        <v/>
      </c>
      <c r="M175" s="683" t="str">
        <f t="shared" si="163"/>
        <v/>
      </c>
      <c r="N175" s="683" t="str">
        <f t="shared" si="163"/>
        <v/>
      </c>
      <c r="O175" s="683" t="str">
        <f t="shared" ref="O175:AD175" si="164">IF(O18="","",ROUND(SUM(O61,O114,O123,O145,O150,O168),2))</f>
        <v/>
      </c>
      <c r="P175" s="683" t="str">
        <f t="shared" si="164"/>
        <v/>
      </c>
      <c r="Q175" s="683" t="str">
        <f t="shared" si="164"/>
        <v/>
      </c>
      <c r="R175" s="683" t="str">
        <f t="shared" si="164"/>
        <v/>
      </c>
      <c r="S175" s="683" t="str">
        <f t="shared" si="164"/>
        <v/>
      </c>
      <c r="T175" s="683" t="str">
        <f t="shared" si="164"/>
        <v/>
      </c>
      <c r="U175" s="683" t="str">
        <f t="shared" si="164"/>
        <v/>
      </c>
      <c r="V175" s="683" t="str">
        <f t="shared" si="164"/>
        <v/>
      </c>
      <c r="W175" s="683" t="str">
        <f t="shared" si="164"/>
        <v/>
      </c>
      <c r="X175" s="683" t="str">
        <f t="shared" si="164"/>
        <v/>
      </c>
      <c r="Y175" s="683" t="str">
        <f t="shared" si="164"/>
        <v/>
      </c>
      <c r="Z175" s="683" t="str">
        <f t="shared" si="164"/>
        <v/>
      </c>
      <c r="AA175" s="683" t="str">
        <f t="shared" si="164"/>
        <v/>
      </c>
      <c r="AB175" s="683" t="str">
        <f t="shared" si="164"/>
        <v/>
      </c>
      <c r="AC175" s="683" t="str">
        <f t="shared" si="164"/>
        <v/>
      </c>
      <c r="AD175" s="683" t="str">
        <f t="shared" si="164"/>
        <v/>
      </c>
    </row>
    <row r="176" spans="1:30">
      <c r="A176" s="811"/>
      <c r="B176" s="595" t="s">
        <v>3</v>
      </c>
      <c r="C176" s="709" t="s">
        <v>534</v>
      </c>
      <c r="D176" s="744"/>
      <c r="E176" s="683">
        <f>IFERROR(ROUND(E175*E28,2),"")</f>
        <v>12921.72</v>
      </c>
      <c r="F176" s="683">
        <f t="shared" ref="F176:H176" si="165">IFERROR(ROUND(F175*F28,2),"")</f>
        <v>15488.82</v>
      </c>
      <c r="G176" s="683" t="str">
        <f t="shared" si="165"/>
        <v/>
      </c>
      <c r="H176" s="683" t="str">
        <f t="shared" si="165"/>
        <v/>
      </c>
      <c r="I176" s="683" t="str">
        <f t="shared" ref="I176:N176" si="166">IFERROR(ROUND(I175*I28,2),"")</f>
        <v/>
      </c>
      <c r="J176" s="683" t="str">
        <f t="shared" si="166"/>
        <v/>
      </c>
      <c r="K176" s="683" t="str">
        <f t="shared" si="166"/>
        <v/>
      </c>
      <c r="L176" s="683" t="str">
        <f t="shared" si="166"/>
        <v/>
      </c>
      <c r="M176" s="683" t="str">
        <f t="shared" si="166"/>
        <v/>
      </c>
      <c r="N176" s="683" t="str">
        <f t="shared" si="166"/>
        <v/>
      </c>
      <c r="O176" s="683" t="str">
        <f t="shared" ref="O176:AD176" si="167">IFERROR(ROUND(O175*O28,2),"")</f>
        <v/>
      </c>
      <c r="P176" s="683" t="str">
        <f t="shared" si="167"/>
        <v/>
      </c>
      <c r="Q176" s="683" t="str">
        <f t="shared" si="167"/>
        <v/>
      </c>
      <c r="R176" s="683" t="str">
        <f t="shared" si="167"/>
        <v/>
      </c>
      <c r="S176" s="683" t="str">
        <f t="shared" si="167"/>
        <v/>
      </c>
      <c r="T176" s="683" t="str">
        <f t="shared" si="167"/>
        <v/>
      </c>
      <c r="U176" s="683" t="str">
        <f t="shared" si="167"/>
        <v/>
      </c>
      <c r="V176" s="683" t="str">
        <f t="shared" si="167"/>
        <v/>
      </c>
      <c r="W176" s="683" t="str">
        <f t="shared" si="167"/>
        <v/>
      </c>
      <c r="X176" s="683" t="str">
        <f t="shared" si="167"/>
        <v/>
      </c>
      <c r="Y176" s="683" t="str">
        <f t="shared" si="167"/>
        <v/>
      </c>
      <c r="Z176" s="683" t="str">
        <f t="shared" si="167"/>
        <v/>
      </c>
      <c r="AA176" s="683" t="str">
        <f t="shared" si="167"/>
        <v/>
      </c>
      <c r="AB176" s="683" t="str">
        <f t="shared" si="167"/>
        <v/>
      </c>
      <c r="AC176" s="683" t="str">
        <f t="shared" si="167"/>
        <v/>
      </c>
      <c r="AD176" s="683" t="str">
        <f t="shared" si="167"/>
        <v/>
      </c>
    </row>
    <row r="177" spans="1:30" ht="3.75" customHeight="1">
      <c r="A177" s="29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291"/>
      <c r="B178" s="538"/>
      <c r="C178" s="539" t="s">
        <v>577</v>
      </c>
      <c r="D178" s="541"/>
      <c r="E178" s="810"/>
      <c r="F178" s="810"/>
      <c r="G178" s="810"/>
      <c r="H178" s="810"/>
      <c r="I178" s="810"/>
      <c r="J178" s="810"/>
      <c r="K178" s="810"/>
      <c r="L178" s="810"/>
      <c r="M178" s="810"/>
      <c r="N178" s="810"/>
      <c r="O178" s="810"/>
      <c r="P178" s="810"/>
      <c r="Q178" s="810"/>
      <c r="R178" s="810"/>
      <c r="S178" s="810"/>
      <c r="T178" s="810"/>
      <c r="U178" s="810"/>
      <c r="V178" s="810"/>
      <c r="W178" s="810"/>
      <c r="X178" s="810"/>
      <c r="Y178" s="810"/>
      <c r="Z178" s="810"/>
      <c r="AA178" s="810"/>
      <c r="AB178" s="810"/>
      <c r="AC178" s="810"/>
      <c r="AD178" s="810"/>
    </row>
    <row r="179" spans="1:30">
      <c r="A179" s="811"/>
      <c r="B179" s="595" t="s">
        <v>2</v>
      </c>
      <c r="C179" s="709" t="s">
        <v>469</v>
      </c>
      <c r="D179" s="744"/>
      <c r="E179" s="683">
        <f>IFERROR(ROUND(SUM(E61,E114,E123,E145)*E29,2),"")</f>
        <v>0</v>
      </c>
      <c r="F179" s="683">
        <f t="shared" ref="F179:H179" si="168">IFERROR(ROUND(SUM(F61,F114,F123,F145)*F29,2),"")</f>
        <v>0</v>
      </c>
      <c r="G179" s="683">
        <f t="shared" si="168"/>
        <v>0</v>
      </c>
      <c r="H179" s="683">
        <f t="shared" si="168"/>
        <v>0</v>
      </c>
      <c r="I179" s="683" t="str">
        <f t="shared" ref="I179:N179" si="169">IFERROR(ROUND(SUM(I61,I114,I123,I145)*I29,2),"")</f>
        <v/>
      </c>
      <c r="J179" s="683" t="str">
        <f t="shared" si="169"/>
        <v/>
      </c>
      <c r="K179" s="683" t="str">
        <f t="shared" si="169"/>
        <v/>
      </c>
      <c r="L179" s="683" t="str">
        <f t="shared" si="169"/>
        <v/>
      </c>
      <c r="M179" s="683" t="str">
        <f t="shared" si="169"/>
        <v/>
      </c>
      <c r="N179" s="683" t="str">
        <f t="shared" si="169"/>
        <v/>
      </c>
      <c r="O179" s="683" t="str">
        <f t="shared" ref="O179:AD179" si="170">IFERROR(ROUND(SUM(O61,O114,O123,O145)*O29,2),"")</f>
        <v/>
      </c>
      <c r="P179" s="683" t="str">
        <f t="shared" si="170"/>
        <v/>
      </c>
      <c r="Q179" s="683" t="str">
        <f t="shared" si="170"/>
        <v/>
      </c>
      <c r="R179" s="683" t="str">
        <f t="shared" si="170"/>
        <v/>
      </c>
      <c r="S179" s="683" t="str">
        <f t="shared" si="170"/>
        <v/>
      </c>
      <c r="T179" s="683" t="str">
        <f t="shared" si="170"/>
        <v/>
      </c>
      <c r="U179" s="683" t="str">
        <f t="shared" si="170"/>
        <v/>
      </c>
      <c r="V179" s="683" t="str">
        <f t="shared" si="170"/>
        <v/>
      </c>
      <c r="W179" s="683" t="str">
        <f t="shared" si="170"/>
        <v/>
      </c>
      <c r="X179" s="683" t="str">
        <f t="shared" si="170"/>
        <v/>
      </c>
      <c r="Y179" s="683" t="str">
        <f t="shared" si="170"/>
        <v/>
      </c>
      <c r="Z179" s="683" t="str">
        <f t="shared" si="170"/>
        <v/>
      </c>
      <c r="AA179" s="683" t="str">
        <f t="shared" si="170"/>
        <v/>
      </c>
      <c r="AB179" s="683" t="str">
        <f t="shared" si="170"/>
        <v/>
      </c>
      <c r="AC179" s="683" t="str">
        <f t="shared" si="170"/>
        <v/>
      </c>
      <c r="AD179" s="683" t="str">
        <f t="shared" si="170"/>
        <v/>
      </c>
    </row>
    <row r="180" spans="1:30">
      <c r="A180" s="811"/>
      <c r="B180" s="595" t="s">
        <v>1</v>
      </c>
      <c r="C180" s="709" t="s">
        <v>529</v>
      </c>
      <c r="D180" s="744"/>
      <c r="E180" s="683">
        <f>IFERROR(ROUND(E150*E29,2),"")</f>
        <v>0</v>
      </c>
      <c r="F180" s="683">
        <f t="shared" ref="F180:H180" si="171">IFERROR(ROUND(F150*F29,2),"")</f>
        <v>0</v>
      </c>
      <c r="G180" s="683" t="str">
        <f t="shared" si="171"/>
        <v/>
      </c>
      <c r="H180" s="683" t="str">
        <f t="shared" si="171"/>
        <v/>
      </c>
      <c r="I180" s="683" t="str">
        <f t="shared" ref="I180:N180" si="172">IFERROR(ROUND(I150*I29,2),"")</f>
        <v/>
      </c>
      <c r="J180" s="683" t="str">
        <f t="shared" si="172"/>
        <v/>
      </c>
      <c r="K180" s="683" t="str">
        <f t="shared" si="172"/>
        <v/>
      </c>
      <c r="L180" s="683" t="str">
        <f t="shared" si="172"/>
        <v/>
      </c>
      <c r="M180" s="683" t="str">
        <f t="shared" si="172"/>
        <v/>
      </c>
      <c r="N180" s="683" t="str">
        <f t="shared" si="172"/>
        <v/>
      </c>
      <c r="O180" s="683" t="str">
        <f t="shared" ref="O180:AD180" si="173">IFERROR(ROUND(O150*O29,2),"")</f>
        <v/>
      </c>
      <c r="P180" s="683" t="str">
        <f t="shared" si="173"/>
        <v/>
      </c>
      <c r="Q180" s="683" t="str">
        <f t="shared" si="173"/>
        <v/>
      </c>
      <c r="R180" s="683" t="str">
        <f t="shared" si="173"/>
        <v/>
      </c>
      <c r="S180" s="683" t="str">
        <f t="shared" si="173"/>
        <v/>
      </c>
      <c r="T180" s="683" t="str">
        <f t="shared" si="173"/>
        <v/>
      </c>
      <c r="U180" s="683" t="str">
        <f t="shared" si="173"/>
        <v/>
      </c>
      <c r="V180" s="683" t="str">
        <f t="shared" si="173"/>
        <v/>
      </c>
      <c r="W180" s="683" t="str">
        <f t="shared" si="173"/>
        <v/>
      </c>
      <c r="X180" s="683" t="str">
        <f t="shared" si="173"/>
        <v/>
      </c>
      <c r="Y180" s="683" t="str">
        <f t="shared" si="173"/>
        <v/>
      </c>
      <c r="Z180" s="683" t="str">
        <f t="shared" si="173"/>
        <v/>
      </c>
      <c r="AA180" s="683" t="str">
        <f t="shared" si="173"/>
        <v/>
      </c>
      <c r="AB180" s="683" t="str">
        <f t="shared" si="173"/>
        <v/>
      </c>
      <c r="AC180" s="683" t="str">
        <f t="shared" si="173"/>
        <v/>
      </c>
      <c r="AD180" s="683" t="str">
        <f t="shared" si="173"/>
        <v/>
      </c>
    </row>
    <row r="181" spans="1:30">
      <c r="A181" s="76"/>
      <c r="B181" s="595" t="s">
        <v>0</v>
      </c>
      <c r="C181" s="709" t="s">
        <v>224</v>
      </c>
      <c r="D181" s="744"/>
      <c r="E181" s="683">
        <f>IFERROR(ROUND(E168*E29,2),"")</f>
        <v>0</v>
      </c>
      <c r="F181" s="683">
        <f t="shared" ref="F181:H181" si="174">IFERROR(ROUND(F168*F29,2),"")</f>
        <v>0</v>
      </c>
      <c r="G181" s="683" t="str">
        <f t="shared" si="174"/>
        <v/>
      </c>
      <c r="H181" s="683" t="str">
        <f t="shared" si="174"/>
        <v/>
      </c>
      <c r="I181" s="683" t="str">
        <f t="shared" ref="I181:N181" si="175">IFERROR(ROUND(I168*I29,2),"")</f>
        <v/>
      </c>
      <c r="J181" s="683" t="str">
        <f t="shared" si="175"/>
        <v/>
      </c>
      <c r="K181" s="683" t="str">
        <f t="shared" si="175"/>
        <v/>
      </c>
      <c r="L181" s="683" t="str">
        <f t="shared" si="175"/>
        <v/>
      </c>
      <c r="M181" s="683" t="str">
        <f t="shared" si="175"/>
        <v/>
      </c>
      <c r="N181" s="683" t="str">
        <f t="shared" si="175"/>
        <v/>
      </c>
      <c r="O181" s="683" t="str">
        <f t="shared" ref="O181:AD181" si="176">IFERROR(ROUND(O168*O29,2),"")</f>
        <v/>
      </c>
      <c r="P181" s="683" t="str">
        <f t="shared" si="176"/>
        <v/>
      </c>
      <c r="Q181" s="683" t="str">
        <f t="shared" si="176"/>
        <v/>
      </c>
      <c r="R181" s="683" t="str">
        <f t="shared" si="176"/>
        <v/>
      </c>
      <c r="S181" s="683" t="str">
        <f t="shared" si="176"/>
        <v/>
      </c>
      <c r="T181" s="683" t="str">
        <f t="shared" si="176"/>
        <v/>
      </c>
      <c r="U181" s="683" t="str">
        <f t="shared" si="176"/>
        <v/>
      </c>
      <c r="V181" s="683" t="str">
        <f t="shared" si="176"/>
        <v/>
      </c>
      <c r="W181" s="683" t="str">
        <f t="shared" si="176"/>
        <v/>
      </c>
      <c r="X181" s="683" t="str">
        <f t="shared" si="176"/>
        <v/>
      </c>
      <c r="Y181" s="683" t="str">
        <f t="shared" si="176"/>
        <v/>
      </c>
      <c r="Z181" s="683" t="str">
        <f t="shared" si="176"/>
        <v/>
      </c>
      <c r="AA181" s="683" t="str">
        <f t="shared" si="176"/>
        <v/>
      </c>
      <c r="AB181" s="683" t="str">
        <f t="shared" si="176"/>
        <v/>
      </c>
      <c r="AC181" s="683" t="str">
        <f t="shared" si="176"/>
        <v/>
      </c>
      <c r="AD181" s="683" t="str">
        <f t="shared" si="176"/>
        <v/>
      </c>
    </row>
    <row r="182" spans="1:30">
      <c r="A182" s="76"/>
      <c r="B182" s="595" t="s">
        <v>3</v>
      </c>
      <c r="C182" s="709" t="s">
        <v>576</v>
      </c>
      <c r="D182" s="744"/>
      <c r="E182" s="683">
        <f>IFERROR(ROUND((E179+E180+E181),2),"")</f>
        <v>0</v>
      </c>
      <c r="F182" s="683">
        <f t="shared" ref="F182:H182" si="177">IFERROR(ROUND((F179+F180+F181),2),"")</f>
        <v>0</v>
      </c>
      <c r="G182" s="683" t="str">
        <f t="shared" si="177"/>
        <v/>
      </c>
      <c r="H182" s="683" t="str">
        <f t="shared" si="177"/>
        <v/>
      </c>
      <c r="I182" s="683" t="str">
        <f t="shared" ref="I182:N182" si="178">IFERROR(ROUND((I179+I180+I181),2),"")</f>
        <v/>
      </c>
      <c r="J182" s="683" t="str">
        <f t="shared" si="178"/>
        <v/>
      </c>
      <c r="K182" s="683" t="str">
        <f t="shared" si="178"/>
        <v/>
      </c>
      <c r="L182" s="683" t="str">
        <f t="shared" si="178"/>
        <v/>
      </c>
      <c r="M182" s="683" t="str">
        <f t="shared" si="178"/>
        <v/>
      </c>
      <c r="N182" s="683" t="str">
        <f t="shared" si="178"/>
        <v/>
      </c>
      <c r="O182" s="683" t="str">
        <f t="shared" ref="O182:AD182" si="179">IFERROR(ROUND((O179+O180+O181),2),"")</f>
        <v/>
      </c>
      <c r="P182" s="683" t="str">
        <f t="shared" si="179"/>
        <v/>
      </c>
      <c r="Q182" s="683" t="str">
        <f t="shared" si="179"/>
        <v/>
      </c>
      <c r="R182" s="683" t="str">
        <f t="shared" si="179"/>
        <v/>
      </c>
      <c r="S182" s="683" t="str">
        <f t="shared" si="179"/>
        <v/>
      </c>
      <c r="T182" s="683" t="str">
        <f t="shared" si="179"/>
        <v/>
      </c>
      <c r="U182" s="683" t="str">
        <f t="shared" si="179"/>
        <v/>
      </c>
      <c r="V182" s="683" t="str">
        <f t="shared" si="179"/>
        <v/>
      </c>
      <c r="W182" s="683" t="str">
        <f t="shared" si="179"/>
        <v/>
      </c>
      <c r="X182" s="683" t="str">
        <f t="shared" si="179"/>
        <v/>
      </c>
      <c r="Y182" s="683" t="str">
        <f t="shared" si="179"/>
        <v/>
      </c>
      <c r="Z182" s="683" t="str">
        <f t="shared" si="179"/>
        <v/>
      </c>
      <c r="AA182" s="683" t="str">
        <f t="shared" si="179"/>
        <v/>
      </c>
      <c r="AB182" s="683" t="str">
        <f t="shared" si="179"/>
        <v/>
      </c>
      <c r="AC182" s="683" t="str">
        <f t="shared" si="179"/>
        <v/>
      </c>
      <c r="AD182" s="683" t="str">
        <f t="shared" si="179"/>
        <v/>
      </c>
    </row>
    <row r="183" spans="1:30" ht="3.75" customHeight="1">
      <c r="A183" s="29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291"/>
      <c r="B184" s="538"/>
      <c r="C184" s="539" t="s">
        <v>533</v>
      </c>
      <c r="D184" s="541"/>
      <c r="E184" s="810"/>
      <c r="F184" s="810"/>
      <c r="G184" s="810"/>
      <c r="H184" s="810"/>
      <c r="I184" s="810"/>
      <c r="J184" s="810"/>
      <c r="K184" s="810"/>
      <c r="L184" s="810"/>
      <c r="M184" s="810"/>
      <c r="N184" s="810"/>
      <c r="O184" s="810"/>
      <c r="P184" s="810"/>
      <c r="Q184" s="810"/>
      <c r="R184" s="810"/>
      <c r="S184" s="810"/>
      <c r="T184" s="810"/>
      <c r="U184" s="810"/>
      <c r="V184" s="810"/>
      <c r="W184" s="810"/>
      <c r="X184" s="810"/>
      <c r="Y184" s="810"/>
      <c r="Z184" s="810"/>
      <c r="AA184" s="810"/>
      <c r="AB184" s="810"/>
      <c r="AC184" s="810"/>
      <c r="AD184" s="810"/>
    </row>
    <row r="185" spans="1:30" hidden="1">
      <c r="A185" s="453"/>
      <c r="B185" s="792"/>
      <c r="C185" s="793"/>
      <c r="D185" s="541"/>
      <c r="E185" s="810">
        <f>IFERROR(IF(INDEX('Apoio - Regime de Trabalho'!$C:$C,MATCH(E26,'Apoio - Regime de Trabalho'!$A:$A,0))="Diária",0,1),"")</f>
        <v>1</v>
      </c>
      <c r="F185" s="810">
        <f>IFERROR(IF(INDEX('Apoio - Regime de Trabalho'!$C:$C,MATCH(F26,'Apoio - Regime de Trabalho'!$A:$A,0))="Diária",0,1),"")</f>
        <v>1</v>
      </c>
      <c r="G185" s="810" t="str">
        <f>IFERROR(IF(INDEX('Apoio - Regime de Trabalho'!$C:$C,MATCH(G26,'Apoio - Regime de Trabalho'!$A:$A,0))="Diária",0,1),"")</f>
        <v/>
      </c>
      <c r="H185" s="810" t="str">
        <f>IFERROR(IF(INDEX('Apoio - Regime de Trabalho'!$C:$C,MATCH(H26,'Apoio - Regime de Trabalho'!$A:$A,0))="Diária",0,1),"")</f>
        <v/>
      </c>
      <c r="I185" s="810" t="str">
        <f>IFERROR(IF(INDEX('Apoio - Regime de Trabalho'!$C:$C,MATCH(I26,'Apoio - Regime de Trabalho'!$A:$A,0))="Diária",0,1),"")</f>
        <v/>
      </c>
      <c r="J185" s="810" t="str">
        <f>IFERROR(IF(INDEX('Apoio - Regime de Trabalho'!$C:$C,MATCH(J26,'Apoio - Regime de Trabalho'!$A:$A,0))="Diária",0,1),"")</f>
        <v/>
      </c>
      <c r="K185" s="810" t="str">
        <f>IFERROR(IF(INDEX('Apoio - Regime de Trabalho'!$C:$C,MATCH(K26,'Apoio - Regime de Trabalho'!$A:$A,0))="Diária",0,1),"")</f>
        <v/>
      </c>
      <c r="L185" s="810" t="str">
        <f>IFERROR(IF(INDEX('Apoio - Regime de Trabalho'!$C:$C,MATCH(L26,'Apoio - Regime de Trabalho'!$A:$A,0))="Diária",0,1),"")</f>
        <v/>
      </c>
      <c r="M185" s="810" t="str">
        <f>IFERROR(IF(INDEX('Apoio - Regime de Trabalho'!$C:$C,MATCH(M26,'Apoio - Regime de Trabalho'!$A:$A,0))="Diária",0,1),"")</f>
        <v/>
      </c>
      <c r="N185" s="810" t="str">
        <f>IFERROR(IF(INDEX('Apoio - Regime de Trabalho'!$C:$C,MATCH(N26,'Apoio - Regime de Trabalho'!$A:$A,0))="Diária",0,1),"")</f>
        <v/>
      </c>
      <c r="O185" s="810" t="str">
        <f>IFERROR(IF(INDEX('Apoio - Regime de Trabalho'!$C:$C,MATCH(O26,'Apoio - Regime de Trabalho'!$A:$A,0))="Diária",0,1),"")</f>
        <v/>
      </c>
      <c r="P185" s="810" t="str">
        <f>IFERROR(IF(INDEX('Apoio - Regime de Trabalho'!$C:$C,MATCH(P26,'Apoio - Regime de Trabalho'!$A:$A,0))="Diária",0,1),"")</f>
        <v/>
      </c>
      <c r="Q185" s="810" t="str">
        <f>IFERROR(IF(INDEX('Apoio - Regime de Trabalho'!$C:$C,MATCH(Q26,'Apoio - Regime de Trabalho'!$A:$A,0))="Diária",0,1),"")</f>
        <v/>
      </c>
      <c r="R185" s="810" t="str">
        <f>IFERROR(IF(INDEX('Apoio - Regime de Trabalho'!$C:$C,MATCH(R26,'Apoio - Regime de Trabalho'!$A:$A,0))="Diária",0,1),"")</f>
        <v/>
      </c>
      <c r="S185" s="810" t="str">
        <f>IFERROR(IF(INDEX('Apoio - Regime de Trabalho'!$C:$C,MATCH(S26,'Apoio - Regime de Trabalho'!$A:$A,0))="Diária",0,1),"")</f>
        <v/>
      </c>
      <c r="T185" s="810" t="str">
        <f>IFERROR(IF(INDEX('Apoio - Regime de Trabalho'!$C:$C,MATCH(T26,'Apoio - Regime de Trabalho'!$A:$A,0))="Diária",0,1),"")</f>
        <v/>
      </c>
      <c r="U185" s="810" t="str">
        <f>IFERROR(IF(INDEX('Apoio - Regime de Trabalho'!$C:$C,MATCH(U26,'Apoio - Regime de Trabalho'!$A:$A,0))="Diária",0,1),"")</f>
        <v/>
      </c>
      <c r="V185" s="810" t="str">
        <f>IFERROR(IF(INDEX('Apoio - Regime de Trabalho'!$C:$C,MATCH(V26,'Apoio - Regime de Trabalho'!$A:$A,0))="Diária",0,1),"")</f>
        <v/>
      </c>
      <c r="W185" s="810" t="str">
        <f>IFERROR(IF(INDEX('Apoio - Regime de Trabalho'!$C:$C,MATCH(W26,'Apoio - Regime de Trabalho'!$A:$A,0))="Diária",0,1),"")</f>
        <v/>
      </c>
      <c r="X185" s="810" t="str">
        <f>IFERROR(IF(INDEX('Apoio - Regime de Trabalho'!$C:$C,MATCH(X26,'Apoio - Regime de Trabalho'!$A:$A,0))="Diária",0,1),"")</f>
        <v/>
      </c>
      <c r="Y185" s="810" t="str">
        <f>IFERROR(IF(INDEX('Apoio - Regime de Trabalho'!$C:$C,MATCH(Y26,'Apoio - Regime de Trabalho'!$A:$A,0))="Diária",0,1),"")</f>
        <v/>
      </c>
      <c r="Z185" s="810" t="str">
        <f>IFERROR(IF(INDEX('Apoio - Regime de Trabalho'!$C:$C,MATCH(Z26,'Apoio - Regime de Trabalho'!$A:$A,0))="Diária",0,1),"")</f>
        <v/>
      </c>
      <c r="AA185" s="810" t="str">
        <f>IFERROR(IF(INDEX('Apoio - Regime de Trabalho'!$C:$C,MATCH(AA26,'Apoio - Regime de Trabalho'!$A:$A,0))="Diária",0,1),"")</f>
        <v/>
      </c>
      <c r="AB185" s="810" t="str">
        <f>IFERROR(IF(INDEX('Apoio - Regime de Trabalho'!$C:$C,MATCH(AB26,'Apoio - Regime de Trabalho'!$A:$A,0))="Diária",0,1),"")</f>
        <v/>
      </c>
      <c r="AC185" s="810" t="str">
        <f>IFERROR(IF(INDEX('Apoio - Regime de Trabalho'!$C:$C,MATCH(AC26,'Apoio - Regime de Trabalho'!$A:$A,0))="Diária",0,1),"")</f>
        <v/>
      </c>
      <c r="AD185" s="810" t="str">
        <f>IFERROR(IF(INDEX('Apoio - Regime de Trabalho'!$C:$C,MATCH(AD26,'Apoio - Regime de Trabalho'!$A:$A,0))="Diária",0,1),"")</f>
        <v/>
      </c>
    </row>
    <row r="186" spans="1:30" hidden="1">
      <c r="A186" s="453"/>
      <c r="B186" s="792"/>
      <c r="C186" s="793"/>
      <c r="D186" s="541"/>
      <c r="E186" s="810">
        <f>IF(E185=1,$D$12,1)</f>
        <v>6</v>
      </c>
      <c r="F186" s="810">
        <f t="shared" ref="F186:H186" si="180">IF(F185=1,$D$12,1)</f>
        <v>6</v>
      </c>
      <c r="G186" s="810">
        <f t="shared" si="180"/>
        <v>1</v>
      </c>
      <c r="H186" s="810">
        <f t="shared" si="180"/>
        <v>1</v>
      </c>
      <c r="I186" s="810">
        <f t="shared" ref="I186:N186" si="181">IF(I185=1,$D$12,1)</f>
        <v>1</v>
      </c>
      <c r="J186" s="810">
        <f t="shared" si="181"/>
        <v>1</v>
      </c>
      <c r="K186" s="810">
        <f t="shared" si="181"/>
        <v>1</v>
      </c>
      <c r="L186" s="810">
        <f t="shared" si="181"/>
        <v>1</v>
      </c>
      <c r="M186" s="810">
        <f t="shared" si="181"/>
        <v>1</v>
      </c>
      <c r="N186" s="810">
        <f t="shared" si="181"/>
        <v>1</v>
      </c>
      <c r="O186" s="810">
        <f t="shared" ref="O186:AD186" si="182">IF(O185=1,$D$12,1)</f>
        <v>1</v>
      </c>
      <c r="P186" s="810">
        <f t="shared" si="182"/>
        <v>1</v>
      </c>
      <c r="Q186" s="810">
        <f t="shared" si="182"/>
        <v>1</v>
      </c>
      <c r="R186" s="810">
        <f t="shared" si="182"/>
        <v>1</v>
      </c>
      <c r="S186" s="810">
        <f t="shared" si="182"/>
        <v>1</v>
      </c>
      <c r="T186" s="810">
        <f t="shared" si="182"/>
        <v>1</v>
      </c>
      <c r="U186" s="810">
        <f t="shared" si="182"/>
        <v>1</v>
      </c>
      <c r="V186" s="810">
        <f t="shared" si="182"/>
        <v>1</v>
      </c>
      <c r="W186" s="810">
        <f t="shared" si="182"/>
        <v>1</v>
      </c>
      <c r="X186" s="810">
        <f t="shared" si="182"/>
        <v>1</v>
      </c>
      <c r="Y186" s="810">
        <f t="shared" si="182"/>
        <v>1</v>
      </c>
      <c r="Z186" s="810">
        <f t="shared" si="182"/>
        <v>1</v>
      </c>
      <c r="AA186" s="810">
        <f t="shared" si="182"/>
        <v>1</v>
      </c>
      <c r="AB186" s="810">
        <f t="shared" si="182"/>
        <v>1</v>
      </c>
      <c r="AC186" s="810">
        <f t="shared" si="182"/>
        <v>1</v>
      </c>
      <c r="AD186" s="810">
        <f t="shared" si="182"/>
        <v>1</v>
      </c>
    </row>
    <row r="187" spans="1:30">
      <c r="A187" s="76"/>
      <c r="B187" s="595" t="s">
        <v>2</v>
      </c>
      <c r="C187" s="709" t="s">
        <v>469</v>
      </c>
      <c r="D187" s="744"/>
      <c r="E187" s="683">
        <f>IFERROR(ROUND(E179*IF(VLOOKUP(E$26,'Apoio - Regime de Trabalho'!$A:$I,3,FALSE)="Diária",1,$D$12),2),"")</f>
        <v>0</v>
      </c>
      <c r="F187" s="683">
        <f>IFERROR(TRUNC(F179*IF(VLOOKUP(F$26,'Apoio - Regime de Trabalho'!$A:$I,3,FALSE)="Diária",1,$D$12),2),"")</f>
        <v>0</v>
      </c>
      <c r="G187" s="683" t="str">
        <f>IFERROR(ROUND(G179*IF(VLOOKUP(G$26,'Apoio - Regime de Trabalho'!$A:$I,3,FALSE)="Diária",1,$D$12),2),"")</f>
        <v/>
      </c>
      <c r="H187" s="683" t="str">
        <f>IFERROR(ROUND(H179*IF(VLOOKUP(H$26,'Apoio - Regime de Trabalho'!$A:$I,3,FALSE)="Diária",1,$D$12),2),"")</f>
        <v/>
      </c>
      <c r="I187" s="683" t="str">
        <f>IFERROR(ROUND(I179*IF(VLOOKUP(I$26,'Apoio - Regime de Trabalho'!$A:$I,3,FALSE)="Diária",1,$D$12),2),"")</f>
        <v/>
      </c>
      <c r="J187" s="683" t="str">
        <f>IFERROR(ROUND(J179*IF(VLOOKUP(J$26,'Apoio - Regime de Trabalho'!$A:$I,3,FALSE)="Diária",1,$D$12),2),"")</f>
        <v/>
      </c>
      <c r="K187" s="683" t="str">
        <f>IFERROR(ROUND(K179*IF(VLOOKUP(K$26,'Apoio - Regime de Trabalho'!$A:$I,3,FALSE)="Diária",1,$D$12),2),"")</f>
        <v/>
      </c>
      <c r="L187" s="683" t="str">
        <f>IFERROR(ROUND(L179*IF(VLOOKUP(L$26,'Apoio - Regime de Trabalho'!$A:$I,3,FALSE)="Diária",1,$D$12),2),"")</f>
        <v/>
      </c>
      <c r="M187" s="683" t="str">
        <f>IFERROR(ROUND(M179*IF(VLOOKUP(M$26,'Apoio - Regime de Trabalho'!$A:$I,3,FALSE)="Diária",1,$D$12),2),"")</f>
        <v/>
      </c>
      <c r="N187" s="683" t="str">
        <f>IFERROR(ROUND(N179*IF(VLOOKUP(N$26,'Apoio - Regime de Trabalho'!$A:$I,3,FALSE)="Diária",1,$D$12),2),"")</f>
        <v/>
      </c>
      <c r="O187" s="683" t="str">
        <f>IFERROR(ROUND(O179*IF(VLOOKUP(O$26,'Apoio - Regime de Trabalho'!$A:$I,3,FALSE)="Diária",1,$D$12),2),"")</f>
        <v/>
      </c>
      <c r="P187" s="683" t="str">
        <f>IFERROR(ROUND(P179*IF(VLOOKUP(P$26,'Apoio - Regime de Trabalho'!$A:$I,3,FALSE)="Diária",1,$D$12),2),"")</f>
        <v/>
      </c>
      <c r="Q187" s="683" t="str">
        <f>IFERROR(ROUND(Q179*IF(VLOOKUP(Q$26,'Apoio - Regime de Trabalho'!$A:$I,3,FALSE)="Diária",1,$D$12),2),"")</f>
        <v/>
      </c>
      <c r="R187" s="683" t="str">
        <f>IFERROR(ROUND(R179*IF(VLOOKUP(R$26,'Apoio - Regime de Trabalho'!$A:$I,3,FALSE)="Diária",1,$D$12),2),"")</f>
        <v/>
      </c>
      <c r="S187" s="683" t="str">
        <f>IFERROR(ROUND(S179*IF(VLOOKUP(S$26,'Apoio - Regime de Trabalho'!$A:$I,3,FALSE)="Diária",1,$D$12),2),"")</f>
        <v/>
      </c>
      <c r="T187" s="683" t="str">
        <f>IFERROR(ROUND(T179*IF(VLOOKUP(T$26,'Apoio - Regime de Trabalho'!$A:$I,3,FALSE)="Diária",1,$D$12),2),"")</f>
        <v/>
      </c>
      <c r="U187" s="683" t="str">
        <f>IFERROR(ROUND(U179*IF(VLOOKUP(U$26,'Apoio - Regime de Trabalho'!$A:$I,3,FALSE)="Diária",1,$D$12),2),"")</f>
        <v/>
      </c>
      <c r="V187" s="683" t="str">
        <f>IFERROR(ROUND(V179*IF(VLOOKUP(V$26,'Apoio - Regime de Trabalho'!$A:$I,3,FALSE)="Diária",1,$D$12),2),"")</f>
        <v/>
      </c>
      <c r="W187" s="683" t="str">
        <f>IFERROR(ROUND(W179*IF(VLOOKUP(W$26,'Apoio - Regime de Trabalho'!$A:$I,3,FALSE)="Diária",1,$D$12),2),"")</f>
        <v/>
      </c>
      <c r="X187" s="683" t="str">
        <f>IFERROR(ROUND(X179*IF(VLOOKUP(X$26,'Apoio - Regime de Trabalho'!$A:$I,3,FALSE)="Diária",1,$D$12),2),"")</f>
        <v/>
      </c>
      <c r="Y187" s="683" t="str">
        <f>IFERROR(ROUND(Y179*IF(VLOOKUP(Y$26,'Apoio - Regime de Trabalho'!$A:$I,3,FALSE)="Diária",1,$D$12),2),"")</f>
        <v/>
      </c>
      <c r="Z187" s="683" t="str">
        <f>IFERROR(ROUND(Z179*IF(VLOOKUP(Z$26,'Apoio - Regime de Trabalho'!$A:$I,3,FALSE)="Diária",1,$D$12),2),"")</f>
        <v/>
      </c>
      <c r="AA187" s="683" t="str">
        <f>IFERROR(ROUND(AA179*IF(VLOOKUP(AA$26,'Apoio - Regime de Trabalho'!$A:$I,3,FALSE)="Diária",1,$D$12),2),"")</f>
        <v/>
      </c>
      <c r="AB187" s="683" t="str">
        <f>IFERROR(ROUND(AB179*IF(VLOOKUP(AB$26,'Apoio - Regime de Trabalho'!$A:$I,3,FALSE)="Diária",1,$D$12),2),"")</f>
        <v/>
      </c>
      <c r="AC187" s="683" t="str">
        <f>IFERROR(ROUND(AC179*IF(VLOOKUP(AC$26,'Apoio - Regime de Trabalho'!$A:$I,3,FALSE)="Diária",1,$D$12),2),"")</f>
        <v/>
      </c>
      <c r="AD187" s="683" t="str">
        <f>IFERROR(ROUND(AD179*IF(VLOOKUP(AD$26,'Apoio - Regime de Trabalho'!$A:$I,3,FALSE)="Diária",1,$D$12),2),"")</f>
        <v/>
      </c>
    </row>
    <row r="188" spans="1:30">
      <c r="A188" s="76"/>
      <c r="B188" s="595" t="s">
        <v>1</v>
      </c>
      <c r="C188" s="709" t="s">
        <v>529</v>
      </c>
      <c r="D188" s="744"/>
      <c r="E188" s="683">
        <f>IFERROR(ROUND(E180*IF(VLOOKUP(E$26,'Apoio - Regime de Trabalho'!$A:$I,3,FALSE)="Diária",1,$D$12),2),"")</f>
        <v>0</v>
      </c>
      <c r="F188" s="683">
        <f>IFERROR(ROUND(F180*IF(VLOOKUP(F$26,'Apoio - Regime de Trabalho'!$A:$I,3,FALSE)="Diária",1,$D$12),2),"")</f>
        <v>0</v>
      </c>
      <c r="G188" s="683" t="str">
        <f>IFERROR(ROUND(G180*IF(VLOOKUP(G$26,'Apoio - Regime de Trabalho'!$A:$I,3,FALSE)="Diária",1,$D$12),2),"")</f>
        <v/>
      </c>
      <c r="H188" s="683" t="str">
        <f>IFERROR(ROUND(H180*IF(VLOOKUP(H$26,'Apoio - Regime de Trabalho'!$A:$I,3,FALSE)="Diária",1,$D$12),2),"")</f>
        <v/>
      </c>
      <c r="I188" s="683" t="str">
        <f>IFERROR(ROUND(I180*IF(VLOOKUP(I$26,'Apoio - Regime de Trabalho'!$A:$I,3,FALSE)="Diária",1,$D$12),2),"")</f>
        <v/>
      </c>
      <c r="J188" s="683" t="str">
        <f>IFERROR(ROUND(J180*IF(VLOOKUP(J$26,'Apoio - Regime de Trabalho'!$A:$I,3,FALSE)="Diária",1,$D$12),2),"")</f>
        <v/>
      </c>
      <c r="K188" s="683" t="str">
        <f>IFERROR(ROUND(K180*IF(VLOOKUP(K$26,'Apoio - Regime de Trabalho'!$A:$I,3,FALSE)="Diária",1,$D$12),2),"")</f>
        <v/>
      </c>
      <c r="L188" s="683" t="str">
        <f>IFERROR(ROUND(L180*IF(VLOOKUP(L$26,'Apoio - Regime de Trabalho'!$A:$I,3,FALSE)="Diária",1,$D$12),2),"")</f>
        <v/>
      </c>
      <c r="M188" s="683" t="str">
        <f>IFERROR(ROUND(M180*IF(VLOOKUP(M$26,'Apoio - Regime de Trabalho'!$A:$I,3,FALSE)="Diária",1,$D$12),2),"")</f>
        <v/>
      </c>
      <c r="N188" s="683" t="str">
        <f>IFERROR(ROUND(N180*IF(VLOOKUP(N$26,'Apoio - Regime de Trabalho'!$A:$I,3,FALSE)="Diária",1,$D$12),2),"")</f>
        <v/>
      </c>
      <c r="O188" s="683" t="str">
        <f>IFERROR(ROUND(O180*IF(VLOOKUP(O$26,'Apoio - Regime de Trabalho'!$A:$I,3,FALSE)="Diária",1,$D$12),2),"")</f>
        <v/>
      </c>
      <c r="P188" s="683" t="str">
        <f>IFERROR(ROUND(P180*IF(VLOOKUP(P$26,'Apoio - Regime de Trabalho'!$A:$I,3,FALSE)="Diária",1,$D$12),2),"")</f>
        <v/>
      </c>
      <c r="Q188" s="683" t="str">
        <f>IFERROR(ROUND(Q180*IF(VLOOKUP(Q$26,'Apoio - Regime de Trabalho'!$A:$I,3,FALSE)="Diária",1,$D$12),2),"")</f>
        <v/>
      </c>
      <c r="R188" s="683" t="str">
        <f>IFERROR(ROUND(R180*IF(VLOOKUP(R$26,'Apoio - Regime de Trabalho'!$A:$I,3,FALSE)="Diária",1,$D$12),2),"")</f>
        <v/>
      </c>
      <c r="S188" s="683" t="str">
        <f>IFERROR(ROUND(S180*IF(VLOOKUP(S$26,'Apoio - Regime de Trabalho'!$A:$I,3,FALSE)="Diária",1,$D$12),2),"")</f>
        <v/>
      </c>
      <c r="T188" s="683" t="str">
        <f>IFERROR(ROUND(T180*IF(VLOOKUP(T$26,'Apoio - Regime de Trabalho'!$A:$I,3,FALSE)="Diária",1,$D$12),2),"")</f>
        <v/>
      </c>
      <c r="U188" s="683" t="str">
        <f>IFERROR(ROUND(U180*IF(VLOOKUP(U$26,'Apoio - Regime de Trabalho'!$A:$I,3,FALSE)="Diária",1,$D$12),2),"")</f>
        <v/>
      </c>
      <c r="V188" s="683" t="str">
        <f>IFERROR(ROUND(V180*IF(VLOOKUP(V$26,'Apoio - Regime de Trabalho'!$A:$I,3,FALSE)="Diária",1,$D$12),2),"")</f>
        <v/>
      </c>
      <c r="W188" s="683" t="str">
        <f>IFERROR(ROUND(W180*IF(VLOOKUP(W$26,'Apoio - Regime de Trabalho'!$A:$I,3,FALSE)="Diária",1,$D$12),2),"")</f>
        <v/>
      </c>
      <c r="X188" s="683" t="str">
        <f>IFERROR(ROUND(X180*IF(VLOOKUP(X$26,'Apoio - Regime de Trabalho'!$A:$I,3,FALSE)="Diária",1,$D$12),2),"")</f>
        <v/>
      </c>
      <c r="Y188" s="683" t="str">
        <f>IFERROR(ROUND(Y180*IF(VLOOKUP(Y$26,'Apoio - Regime de Trabalho'!$A:$I,3,FALSE)="Diária",1,$D$12),2),"")</f>
        <v/>
      </c>
      <c r="Z188" s="683" t="str">
        <f>IFERROR(ROUND(Z180*IF(VLOOKUP(Z$26,'Apoio - Regime de Trabalho'!$A:$I,3,FALSE)="Diária",1,$D$12),2),"")</f>
        <v/>
      </c>
      <c r="AA188" s="683" t="str">
        <f>IFERROR(ROUND(AA180*IF(VLOOKUP(AA$26,'Apoio - Regime de Trabalho'!$A:$I,3,FALSE)="Diária",1,$D$12),2),"")</f>
        <v/>
      </c>
      <c r="AB188" s="683" t="str">
        <f>IFERROR(ROUND(AB180*IF(VLOOKUP(AB$26,'Apoio - Regime de Trabalho'!$A:$I,3,FALSE)="Diária",1,$D$12),2),"")</f>
        <v/>
      </c>
      <c r="AC188" s="683" t="str">
        <f>IFERROR(ROUND(AC180*IF(VLOOKUP(AC$26,'Apoio - Regime de Trabalho'!$A:$I,3,FALSE)="Diária",1,$D$12),2),"")</f>
        <v/>
      </c>
      <c r="AD188" s="683" t="str">
        <f>IFERROR(ROUND(AD180*IF(VLOOKUP(AD$26,'Apoio - Regime de Trabalho'!$A:$I,3,FALSE)="Diária",1,$D$12),2),"")</f>
        <v/>
      </c>
    </row>
    <row r="189" spans="1:30">
      <c r="A189" s="76"/>
      <c r="B189" s="595" t="s">
        <v>0</v>
      </c>
      <c r="C189" s="709" t="s">
        <v>224</v>
      </c>
      <c r="D189" s="744"/>
      <c r="E189" s="683">
        <f>IFERROR(ROUND(E181*IF(VLOOKUP(E$26,'Apoio - Regime de Trabalho'!$A:$I,3,FALSE)="Diária",1,$D$12),2),"")</f>
        <v>0</v>
      </c>
      <c r="F189" s="683">
        <f>IFERROR(ROUND(F181*IF(VLOOKUP(F$26,'Apoio - Regime de Trabalho'!$A:$I,3,FALSE)="Diária",1,$D$12),2),"")</f>
        <v>0</v>
      </c>
      <c r="G189" s="683" t="str">
        <f>IFERROR(ROUND(G181*IF(VLOOKUP(G$26,'Apoio - Regime de Trabalho'!$A:$I,3,FALSE)="Diária",1,$D$12),2),"")</f>
        <v/>
      </c>
      <c r="H189" s="683" t="str">
        <f>IFERROR(ROUND(H181*IF(VLOOKUP(H$26,'Apoio - Regime de Trabalho'!$A:$I,3,FALSE)="Diária",1,$D$12),2),"")</f>
        <v/>
      </c>
      <c r="I189" s="683" t="str">
        <f>IFERROR(ROUND(I181*IF(VLOOKUP(I$26,'Apoio - Regime de Trabalho'!$A:$I,3,FALSE)="Diária",1,$D$12),2),"")</f>
        <v/>
      </c>
      <c r="J189" s="683" t="str">
        <f>IFERROR(ROUND(J181*IF(VLOOKUP(J$26,'Apoio - Regime de Trabalho'!$A:$I,3,FALSE)="Diária",1,$D$12),2),"")</f>
        <v/>
      </c>
      <c r="K189" s="683" t="str">
        <f>IFERROR(ROUND(K181*IF(VLOOKUP(K$26,'Apoio - Regime de Trabalho'!$A:$I,3,FALSE)="Diária",1,$D$12),2),"")</f>
        <v/>
      </c>
      <c r="L189" s="683" t="str">
        <f>IFERROR(ROUND(L181*IF(VLOOKUP(L$26,'Apoio - Regime de Trabalho'!$A:$I,3,FALSE)="Diária",1,$D$12),2),"")</f>
        <v/>
      </c>
      <c r="M189" s="683" t="str">
        <f>IFERROR(ROUND(M181*IF(VLOOKUP(M$26,'Apoio - Regime de Trabalho'!$A:$I,3,FALSE)="Diária",1,$D$12),2),"")</f>
        <v/>
      </c>
      <c r="N189" s="683" t="str">
        <f>IFERROR(ROUND(N181*IF(VLOOKUP(N$26,'Apoio - Regime de Trabalho'!$A:$I,3,FALSE)="Diária",1,$D$12),2),"")</f>
        <v/>
      </c>
      <c r="O189" s="683" t="str">
        <f>IFERROR(ROUND(O181*IF(VLOOKUP(O$26,'Apoio - Regime de Trabalho'!$A:$I,3,FALSE)="Diária",1,$D$12),2),"")</f>
        <v/>
      </c>
      <c r="P189" s="683" t="str">
        <f>IFERROR(ROUND(P181*IF(VLOOKUP(P$26,'Apoio - Regime de Trabalho'!$A:$I,3,FALSE)="Diária",1,$D$12),2),"")</f>
        <v/>
      </c>
      <c r="Q189" s="683" t="str">
        <f>IFERROR(ROUND(Q181*IF(VLOOKUP(Q$26,'Apoio - Regime de Trabalho'!$A:$I,3,FALSE)="Diária",1,$D$12),2),"")</f>
        <v/>
      </c>
      <c r="R189" s="683" t="str">
        <f>IFERROR(ROUND(R181*IF(VLOOKUP(R$26,'Apoio - Regime de Trabalho'!$A:$I,3,FALSE)="Diária",1,$D$12),2),"")</f>
        <v/>
      </c>
      <c r="S189" s="683" t="str">
        <f>IFERROR(ROUND(S181*IF(VLOOKUP(S$26,'Apoio - Regime de Trabalho'!$A:$I,3,FALSE)="Diária",1,$D$12),2),"")</f>
        <v/>
      </c>
      <c r="T189" s="683" t="str">
        <f>IFERROR(ROUND(T181*IF(VLOOKUP(T$26,'Apoio - Regime de Trabalho'!$A:$I,3,FALSE)="Diária",1,$D$12),2),"")</f>
        <v/>
      </c>
      <c r="U189" s="683" t="str">
        <f>IFERROR(ROUND(U181*IF(VLOOKUP(U$26,'Apoio - Regime de Trabalho'!$A:$I,3,FALSE)="Diária",1,$D$12),2),"")</f>
        <v/>
      </c>
      <c r="V189" s="683" t="str">
        <f>IFERROR(ROUND(V181*IF(VLOOKUP(V$26,'Apoio - Regime de Trabalho'!$A:$I,3,FALSE)="Diária",1,$D$12),2),"")</f>
        <v/>
      </c>
      <c r="W189" s="683" t="str">
        <f>IFERROR(ROUND(W181*IF(VLOOKUP(W$26,'Apoio - Regime de Trabalho'!$A:$I,3,FALSE)="Diária",1,$D$12),2),"")</f>
        <v/>
      </c>
      <c r="X189" s="683" t="str">
        <f>IFERROR(ROUND(X181*IF(VLOOKUP(X$26,'Apoio - Regime de Trabalho'!$A:$I,3,FALSE)="Diária",1,$D$12),2),"")</f>
        <v/>
      </c>
      <c r="Y189" s="683" t="str">
        <f>IFERROR(ROUND(Y181*IF(VLOOKUP(Y$26,'Apoio - Regime de Trabalho'!$A:$I,3,FALSE)="Diária",1,$D$12),2),"")</f>
        <v/>
      </c>
      <c r="Z189" s="683" t="str">
        <f>IFERROR(ROUND(Z181*IF(VLOOKUP(Z$26,'Apoio - Regime de Trabalho'!$A:$I,3,FALSE)="Diária",1,$D$12),2),"")</f>
        <v/>
      </c>
      <c r="AA189" s="683" t="str">
        <f>IFERROR(ROUND(AA181*IF(VLOOKUP(AA$26,'Apoio - Regime de Trabalho'!$A:$I,3,FALSE)="Diária",1,$D$12),2),"")</f>
        <v/>
      </c>
      <c r="AB189" s="683" t="str">
        <f>IFERROR(ROUND(AB181*IF(VLOOKUP(AB$26,'Apoio - Regime de Trabalho'!$A:$I,3,FALSE)="Diária",1,$D$12),2),"")</f>
        <v/>
      </c>
      <c r="AC189" s="683" t="str">
        <f>IFERROR(ROUND(AC181*IF(VLOOKUP(AC$26,'Apoio - Regime de Trabalho'!$A:$I,3,FALSE)="Diária",1,$D$12),2),"")</f>
        <v/>
      </c>
      <c r="AD189" s="683" t="str">
        <f>IFERROR(ROUND(AD181*IF(VLOOKUP(AD$26,'Apoio - Regime de Trabalho'!$A:$I,3,FALSE)="Diária",1,$D$12),2),"")</f>
        <v/>
      </c>
    </row>
    <row r="190" spans="1:30">
      <c r="A190" s="76"/>
      <c r="B190" s="595" t="s">
        <v>3</v>
      </c>
      <c r="C190" s="709" t="s">
        <v>530</v>
      </c>
      <c r="D190" s="744"/>
      <c r="E190" s="683">
        <f>IFERROR(ROUND(E182*IF(VLOOKUP(E$26,'Apoio - Regime de Trabalho'!$A:$I,3,FALSE)="Diária",1,$D$12),2),"")</f>
        <v>0</v>
      </c>
      <c r="F190" s="683">
        <f>IFERROR(ROUND(F182*IF(VLOOKUP(F$26,'Apoio - Regime de Trabalho'!$A:$I,3,FALSE)="Diária",1,$D$12),2),"")</f>
        <v>0</v>
      </c>
      <c r="G190" s="683" t="str">
        <f>IFERROR(ROUND(G182*IF(VLOOKUP(G$26,'Apoio - Regime de Trabalho'!$A:$I,3,FALSE)="Diária",1,$D$12),2),"")</f>
        <v/>
      </c>
      <c r="H190" s="683" t="str">
        <f>IFERROR(ROUND(H182*IF(VLOOKUP(H$26,'Apoio - Regime de Trabalho'!$A:$I,3,FALSE)="Diária",1,$D$12),2),"")</f>
        <v/>
      </c>
      <c r="I190" s="683" t="str">
        <f>IFERROR(ROUND(I182*IF(VLOOKUP(I$26,'Apoio - Regime de Trabalho'!$A:$I,3,FALSE)="Diária",1,$D$12),2),"")</f>
        <v/>
      </c>
      <c r="J190" s="683" t="str">
        <f>IFERROR(ROUND(J182*IF(VLOOKUP(J$26,'Apoio - Regime de Trabalho'!$A:$I,3,FALSE)="Diária",1,$D$12),2),"")</f>
        <v/>
      </c>
      <c r="K190" s="683" t="str">
        <f>IFERROR(ROUND(K182*IF(VLOOKUP(K$26,'Apoio - Regime de Trabalho'!$A:$I,3,FALSE)="Diária",1,$D$12),2),"")</f>
        <v/>
      </c>
      <c r="L190" s="683" t="str">
        <f>IFERROR(ROUND(L182*IF(VLOOKUP(L$26,'Apoio - Regime de Trabalho'!$A:$I,3,FALSE)="Diária",1,$D$12),2),"")</f>
        <v/>
      </c>
      <c r="M190" s="683" t="str">
        <f>IFERROR(ROUND(M182*IF(VLOOKUP(M$26,'Apoio - Regime de Trabalho'!$A:$I,3,FALSE)="Diária",1,$D$12),2),"")</f>
        <v/>
      </c>
      <c r="N190" s="683" t="str">
        <f>IFERROR(ROUND(N182*IF(VLOOKUP(N$26,'Apoio - Regime de Trabalho'!$A:$I,3,FALSE)="Diária",1,$D$12),2),"")</f>
        <v/>
      </c>
      <c r="O190" s="683" t="str">
        <f>IFERROR(ROUND(O182*IF(VLOOKUP(O$26,'Apoio - Regime de Trabalho'!$A:$I,3,FALSE)="Diária",1,$D$12),2),"")</f>
        <v/>
      </c>
      <c r="P190" s="683" t="str">
        <f>IFERROR(ROUND(P182*IF(VLOOKUP(P$26,'Apoio - Regime de Trabalho'!$A:$I,3,FALSE)="Diária",1,$D$12),2),"")</f>
        <v/>
      </c>
      <c r="Q190" s="683" t="str">
        <f>IFERROR(ROUND(Q182*IF(VLOOKUP(Q$26,'Apoio - Regime de Trabalho'!$A:$I,3,FALSE)="Diária",1,$D$12),2),"")</f>
        <v/>
      </c>
      <c r="R190" s="683" t="str">
        <f>IFERROR(ROUND(R182*IF(VLOOKUP(R$26,'Apoio - Regime de Trabalho'!$A:$I,3,FALSE)="Diária",1,$D$12),2),"")</f>
        <v/>
      </c>
      <c r="S190" s="683" t="str">
        <f>IFERROR(ROUND(S182*IF(VLOOKUP(S$26,'Apoio - Regime de Trabalho'!$A:$I,3,FALSE)="Diária",1,$D$12),2),"")</f>
        <v/>
      </c>
      <c r="T190" s="683" t="str">
        <f>IFERROR(ROUND(T182*IF(VLOOKUP(T$26,'Apoio - Regime de Trabalho'!$A:$I,3,FALSE)="Diária",1,$D$12),2),"")</f>
        <v/>
      </c>
      <c r="U190" s="683" t="str">
        <f>IFERROR(ROUND(U182*IF(VLOOKUP(U$26,'Apoio - Regime de Trabalho'!$A:$I,3,FALSE)="Diária",1,$D$12),2),"")</f>
        <v/>
      </c>
      <c r="V190" s="683" t="str">
        <f>IFERROR(ROUND(V182*IF(VLOOKUP(V$26,'Apoio - Regime de Trabalho'!$A:$I,3,FALSE)="Diária",1,$D$12),2),"")</f>
        <v/>
      </c>
      <c r="W190" s="683" t="str">
        <f>IFERROR(ROUND(W182*IF(VLOOKUP(W$26,'Apoio - Regime de Trabalho'!$A:$I,3,FALSE)="Diária",1,$D$12),2),"")</f>
        <v/>
      </c>
      <c r="X190" s="683" t="str">
        <f>IFERROR(ROUND(X182*IF(VLOOKUP(X$26,'Apoio - Regime de Trabalho'!$A:$I,3,FALSE)="Diária",1,$D$12),2),"")</f>
        <v/>
      </c>
      <c r="Y190" s="683" t="str">
        <f>IFERROR(ROUND(Y182*IF(VLOOKUP(Y$26,'Apoio - Regime de Trabalho'!$A:$I,3,FALSE)="Diária",1,$D$12),2),"")</f>
        <v/>
      </c>
      <c r="Z190" s="683" t="str">
        <f>IFERROR(ROUND(Z182*IF(VLOOKUP(Z$26,'Apoio - Regime de Trabalho'!$A:$I,3,FALSE)="Diária",1,$D$12),2),"")</f>
        <v/>
      </c>
      <c r="AA190" s="683" t="str">
        <f>IFERROR(ROUND(AA182*IF(VLOOKUP(AA$26,'Apoio - Regime de Trabalho'!$A:$I,3,FALSE)="Diária",1,$D$12),2),"")</f>
        <v/>
      </c>
      <c r="AB190" s="683" t="str">
        <f>IFERROR(ROUND(AB182*IF(VLOOKUP(AB$26,'Apoio - Regime de Trabalho'!$A:$I,3,FALSE)="Diária",1,$D$12),2),"")</f>
        <v/>
      </c>
      <c r="AC190" s="683" t="str">
        <f>IFERROR(ROUND(AC182*IF(VLOOKUP(AC$26,'Apoio - Regime de Trabalho'!$A:$I,3,FALSE)="Diária",1,$D$12),2),"")</f>
        <v/>
      </c>
      <c r="AD190" s="683" t="str">
        <f>IFERROR(ROUND(AD182*IF(VLOOKUP(AD$26,'Apoio - Regime de Trabalho'!$A:$I,3,FALSE)="Diária",1,$D$12),2),"")</f>
        <v/>
      </c>
    </row>
    <row r="191" spans="1:30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</sheetData>
  <sheetProtection algorithmName="SHA-512" hashValue="p6AwF53e0RW7pxVsPrW35fykTh0eOw1i+6e/WtwcygJ+4SJbAZt51qQALWKSYGkR4rcS3Tc3+w5+Ato6e3U27g==" saltValue="qOjYW5QpIdg0yNB/MbJaow==" spinCount="100000" sheet="1" objects="1" scenarios="1" formatCells="0" formatColumns="0" formatRows="0" insertColumns="0" autoFilter="0"/>
  <dataConsolidate link="1"/>
  <mergeCells count="27">
    <mergeCell ref="D9:E9"/>
    <mergeCell ref="A2:H2"/>
    <mergeCell ref="D5:E5"/>
    <mergeCell ref="D6:E6"/>
    <mergeCell ref="D7:E7"/>
    <mergeCell ref="D8:E8"/>
    <mergeCell ref="B50:B53"/>
    <mergeCell ref="D10:E10"/>
    <mergeCell ref="D11:E11"/>
    <mergeCell ref="D12:E12"/>
    <mergeCell ref="D13:E13"/>
    <mergeCell ref="D14:E14"/>
    <mergeCell ref="D15:E15"/>
    <mergeCell ref="B33:B35"/>
    <mergeCell ref="B36:B39"/>
    <mergeCell ref="B40:B42"/>
    <mergeCell ref="B43:B46"/>
    <mergeCell ref="B47:B49"/>
    <mergeCell ref="B108:B111"/>
    <mergeCell ref="B140:B142"/>
    <mergeCell ref="B162:B164"/>
    <mergeCell ref="B54:B58"/>
    <mergeCell ref="B78:B81"/>
    <mergeCell ref="B86:B91"/>
    <mergeCell ref="B92:B96"/>
    <mergeCell ref="B97:B100"/>
    <mergeCell ref="B103:B106"/>
  </mergeCells>
  <conditionalFormatting sqref="D5:D12 E18:AD27 E34:AD34 E37:AD38 E41:AD41 E44:AD45 E59:AD60 E87:AD90 E93:AD95 E98:AD99 E104:AD105 E141:AD141">
    <cfRule type="expression" dxfId="17" priority="6">
      <formula>$H$5=1</formula>
    </cfRule>
  </conditionalFormatting>
  <conditionalFormatting sqref="D9:D10 D13:D15 E19:AD24 E34:AD34 E37:AD38 E41:AD41 E44:AD45 E59:AD60 D79:D80 E88:AD90 E93:AD95 E98:AD99 E104:AD105 D128:D136 E141:AD141">
    <cfRule type="expression" dxfId="16" priority="7">
      <formula>$H$5=2</formula>
    </cfRule>
  </conditionalFormatting>
  <conditionalFormatting sqref="D15 E20:AD20 E23:AD24 E87:AD87 E93:AD93 E98:AD98 E101:AD102 E104:AD104 E107:AD107 E109:AD109">
    <cfRule type="expression" dxfId="15" priority="5">
      <formula>$H$5=4</formula>
    </cfRule>
  </conditionalFormatting>
  <conditionalFormatting sqref="E51:AD52">
    <cfRule type="expression" dxfId="14" priority="3">
      <formula>$H$5=1</formula>
    </cfRule>
    <cfRule type="expression" dxfId="13" priority="4">
      <formula>$H$5=2</formula>
    </cfRule>
  </conditionalFormatting>
  <conditionalFormatting sqref="E163:AD163">
    <cfRule type="expression" dxfId="12" priority="1">
      <formula>$H$5=1</formula>
    </cfRule>
    <cfRule type="expression" dxfId="11" priority="2">
      <formula>$H$5=2</formula>
    </cfRule>
  </conditionalFormatting>
  <dataValidations count="12">
    <dataValidation type="list" allowBlank="1" sqref="E51:AD51" xr:uid="{00000000-0002-0000-0000-000000000000}">
      <formula1>"0%,50%,100%"</formula1>
    </dataValidation>
    <dataValidation type="list" allowBlank="1" sqref="E38:AD38" xr:uid="{00000000-0002-0000-0000-000001000000}">
      <formula1>"0%,10%,20%,40%"</formula1>
    </dataValidation>
    <dataValidation type="list" sqref="E38:AD38" xr:uid="{00000000-0002-0000-0000-000002000000}">
      <formula1>"0,10%,20%,40%"</formula1>
    </dataValidation>
    <dataValidation type="list" sqref="E37:AD37" xr:uid="{00000000-0002-0000-0000-000003000000}">
      <formula1>"Salário Base, Salário Mínimo,Não incide"</formula1>
    </dataValidation>
    <dataValidation sqref="E40:AD41 E43:AD43 E47:AD47 E50:AD50 E54:AD54 E33:AD33 E36:AD36" xr:uid="{00000000-0002-0000-0000-000004000000}"/>
    <dataValidation type="list" sqref="E34:AD34" xr:uid="{00000000-0002-0000-0000-000005000000}">
      <formula1>"0%,30%"</formula1>
    </dataValidation>
    <dataValidation type="list" allowBlank="1" showInputMessage="1" sqref="E21:AD21" xr:uid="{00000000-0002-0000-0000-000006000000}">
      <formula1>"180,200,220"</formula1>
    </dataValidation>
    <dataValidation type="list" allowBlank="1" showInputMessage="1" sqref="D11:E11" xr:uid="{00000000-0002-0000-0000-000007000000}">
      <formula1>"Valor Global,Mês,Dia,Hora"</formula1>
    </dataValidation>
    <dataValidation type="whole" allowBlank="1" showInputMessage="1" showErrorMessage="1" errorTitle="Erro de entrada" error="Informar a duração do contrato em meses" sqref="D12:E12" xr:uid="{00000000-0002-0000-0000-000008000000}">
      <formula1>1</formula1>
      <formula2>360</formula2>
    </dataValidation>
    <dataValidation type="list" showInputMessage="1" sqref="D139:D141 E141:AD141" xr:uid="{00000000-0002-0000-0000-000009000000}">
      <formula1>"Indenização,Rendição,Não"</formula1>
    </dataValidation>
    <dataValidation type="list" allowBlank="1" showInputMessage="1" showErrorMessage="1" sqref="D56" xr:uid="{00000000-0002-0000-0000-00000A000000}">
      <formula1>"Sim,Não"</formula1>
    </dataValidation>
    <dataValidation showInputMessage="1" sqref="D142 D164" xr:uid="{00000000-0002-0000-0000-00000B000000}"/>
  </dataValidations>
  <hyperlinks>
    <hyperlink ref="C148" location="'Mat Individual e Uniformes func'!A1" display="Material Individual e Uniformes" xr:uid="{00000000-0004-0000-0000-000000000000}"/>
    <hyperlink ref="C149" location="'Mat Coletivo e Equipamentos'!A1" display="Material Coletivo e Equipamentos" xr:uid="{00000000-0004-0000-0000-000001000000}"/>
    <hyperlink ref="E24:H24" r:id="rId1" display="http://www3.mte.gov.br/sistemas/mediador/ConsultarInstColetivo" xr:uid="{00000000-0004-0000-0000-000002000000}"/>
    <hyperlink ref="I24" r:id="rId2" display="http://www3.mte.gov.br/sistemas/mediador/ConsultarInstColetivo" xr:uid="{00000000-0004-0000-0000-000003000000}"/>
    <hyperlink ref="J24" r:id="rId3" display="http://www3.mte.gov.br/sistemas/mediador/ConsultarInstColetivo" xr:uid="{00000000-0004-0000-0000-000004000000}"/>
    <hyperlink ref="K24" r:id="rId4" display="http://www3.mte.gov.br/sistemas/mediador/ConsultarInstColetivo" xr:uid="{00000000-0004-0000-0000-000005000000}"/>
    <hyperlink ref="L24" r:id="rId5" display="http://www3.mte.gov.br/sistemas/mediador/ConsultarInstColetivo" xr:uid="{00000000-0004-0000-0000-000006000000}"/>
    <hyperlink ref="M24" r:id="rId6" display="http://www3.mte.gov.br/sistemas/mediador/ConsultarInstColetivo" xr:uid="{00000000-0004-0000-0000-000007000000}"/>
    <hyperlink ref="N24" r:id="rId7" display="http://www3.mte.gov.br/sistemas/mediador/ConsultarInstColetivo" xr:uid="{00000000-0004-0000-0000-000008000000}"/>
    <hyperlink ref="O24" r:id="rId8" display="http://www3.mte.gov.br/sistemas/mediador/ConsultarInstColetivo" xr:uid="{00000000-0004-0000-0000-000009000000}"/>
    <hyperlink ref="P24" r:id="rId9" display="http://www3.mte.gov.br/sistemas/mediador/ConsultarInstColetivo" xr:uid="{00000000-0004-0000-0000-00000A000000}"/>
    <hyperlink ref="Q24" r:id="rId10" display="http://www3.mte.gov.br/sistemas/mediador/ConsultarInstColetivo" xr:uid="{00000000-0004-0000-0000-00000B000000}"/>
    <hyperlink ref="R24" r:id="rId11" display="http://www3.mte.gov.br/sistemas/mediador/ConsultarInstColetivo" xr:uid="{00000000-0004-0000-0000-00000C000000}"/>
    <hyperlink ref="S24" r:id="rId12" display="http://www3.mte.gov.br/sistemas/mediador/ConsultarInstColetivo" xr:uid="{00000000-0004-0000-0000-00000D000000}"/>
    <hyperlink ref="T24" r:id="rId13" display="http://www3.mte.gov.br/sistemas/mediador/ConsultarInstColetivo" xr:uid="{00000000-0004-0000-0000-00000E000000}"/>
    <hyperlink ref="U24" r:id="rId14" display="http://www3.mte.gov.br/sistemas/mediador/ConsultarInstColetivo" xr:uid="{00000000-0004-0000-0000-00000F000000}"/>
    <hyperlink ref="V24" r:id="rId15" display="http://www3.mte.gov.br/sistemas/mediador/ConsultarInstColetivo" xr:uid="{00000000-0004-0000-0000-000010000000}"/>
    <hyperlink ref="W24" r:id="rId16" display="http://www3.mte.gov.br/sistemas/mediador/ConsultarInstColetivo" xr:uid="{00000000-0004-0000-0000-000011000000}"/>
    <hyperlink ref="X24" r:id="rId17" display="http://www3.mte.gov.br/sistemas/mediador/ConsultarInstColetivo" xr:uid="{00000000-0004-0000-0000-000012000000}"/>
    <hyperlink ref="Y24" r:id="rId18" display="http://www3.mte.gov.br/sistemas/mediador/ConsultarInstColetivo" xr:uid="{00000000-0004-0000-0000-000013000000}"/>
    <hyperlink ref="Z24" r:id="rId19" display="http://www3.mte.gov.br/sistemas/mediador/ConsultarInstColetivo" xr:uid="{00000000-0004-0000-0000-000014000000}"/>
    <hyperlink ref="AA24" r:id="rId20" display="http://www3.mte.gov.br/sistemas/mediador/ConsultarInstColetivo" xr:uid="{00000000-0004-0000-0000-000015000000}"/>
    <hyperlink ref="AB24" r:id="rId21" display="http://www3.mte.gov.br/sistemas/mediador/ConsultarInstColetivo" xr:uid="{00000000-0004-0000-0000-000016000000}"/>
    <hyperlink ref="AC24" r:id="rId22" display="http://www3.mte.gov.br/sistemas/mediador/ConsultarInstColetivo" xr:uid="{00000000-0004-0000-0000-000017000000}"/>
    <hyperlink ref="AD24" r:id="rId23" display="http://www3.mte.gov.br/sistemas/mediador/ConsultarInstColetivo" xr:uid="{00000000-0004-0000-0000-000018000000}"/>
  </hyperlinks>
  <pageMargins left="0.51181102362204722" right="0.51181102362204722" top="0.78740157480314965" bottom="0.78740157480314965" header="0.31496062992125984" footer="0.31496062992125984"/>
  <pageSetup paperSize="9" fitToHeight="20" orientation="portrait" r:id="rId24"/>
  <headerFooter>
    <oddFooter>&amp;R&amp;P/&amp;N</oddFooter>
  </headerFooter>
  <drawing r:id="rId25"/>
  <legacyDrawing r:id="rId2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27" name="Group Box 1">
              <controlPr defaultSize="0" autoFill="0" autoPict="0">
                <anchor moveWithCells="1">
                  <from>
                    <xdr:col>5</xdr:col>
                    <xdr:colOff>323850</xdr:colOff>
                    <xdr:row>2</xdr:row>
                    <xdr:rowOff>238125</xdr:rowOff>
                  </from>
                  <to>
                    <xdr:col>31</xdr:col>
                    <xdr:colOff>428625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28" name="Option Button 2">
              <controlPr defaultSize="0" autoFill="0" autoLine="0" autoPict="0" altText="Formação de Preços">
                <anchor>
                  <from>
                    <xdr:col>5</xdr:col>
                    <xdr:colOff>419100</xdr:colOff>
                    <xdr:row>4</xdr:row>
                    <xdr:rowOff>9525</xdr:rowOff>
                  </from>
                  <to>
                    <xdr:col>30</xdr:col>
                    <xdr:colOff>419100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29" name="Option Button 3">
              <controlPr defaultSize="0" autoFill="0" autoLine="0" autoPict="0">
                <anchor moveWithCells="1">
                  <from>
                    <xdr:col>5</xdr:col>
                    <xdr:colOff>476250</xdr:colOff>
                    <xdr:row>5</xdr:row>
                    <xdr:rowOff>123825</xdr:rowOff>
                  </from>
                  <to>
                    <xdr:col>30</xdr:col>
                    <xdr:colOff>476250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30" name="Option Button 4">
              <controlPr defaultSize="0" autoFill="0" autoLine="0" autoPict="0">
                <anchor moveWithCells="1">
                  <from>
                    <xdr:col>5</xdr:col>
                    <xdr:colOff>476250</xdr:colOff>
                    <xdr:row>8</xdr:row>
                    <xdr:rowOff>180975</xdr:rowOff>
                  </from>
                  <to>
                    <xdr:col>30</xdr:col>
                    <xdr:colOff>476250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31" name="Option Button 5">
              <controlPr defaultSize="0" autoFill="0" autoLine="0" autoPict="0" altText="Formação de Preços">
                <anchor>
                  <from>
                    <xdr:col>5</xdr:col>
                    <xdr:colOff>419100</xdr:colOff>
                    <xdr:row>6</xdr:row>
                    <xdr:rowOff>47625</xdr:rowOff>
                  </from>
                  <to>
                    <xdr:col>30</xdr:col>
                    <xdr:colOff>438150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00000000-0002-0000-0000-00000C000000}">
          <x14:formula1>
            <xm:f>'Apoio - Posto'!$B:$B</xm:f>
          </x14:formula1>
          <xm:sqref>E19:AD19</xm:sqref>
        </x14:dataValidation>
        <x14:dataValidation type="list" allowBlank="1" xr:uid="{00000000-0002-0000-0000-00000D000000}">
          <x14:formula1>
            <xm:f>'Apoio - Posto'!$A:$A</xm:f>
          </x14:formula1>
          <xm:sqref>E18:AD18</xm:sqref>
        </x14:dataValidation>
        <x14:dataValidation type="list" xr:uid="{00000000-0002-0000-0000-00000E000000}">
          <x14:formula1>
            <xm:f>'Apoio - Posto'!$C:$C</xm:f>
          </x14:formula1>
          <xm:sqref>E22:AD22</xm:sqref>
        </x14:dataValidation>
        <x14:dataValidation type="list" allowBlank="1" xr:uid="{00000000-0002-0000-0000-00000F000000}">
          <x14:formula1>
            <xm:f>'Apoio - Dados'!$A:$A</xm:f>
          </x14:formula1>
          <xm:sqref>D5:E5</xm:sqref>
        </x14:dataValidation>
        <x14:dataValidation type="list" allowBlank="1" showInputMessage="1" showErrorMessage="1" xr:uid="{00000000-0002-0000-0000-000010000000}">
          <x14:formula1>
            <xm:f>'Apoio - Notas Explicativas'!$H$13:$K$13</xm:f>
          </x14:formula1>
          <xm:sqref>D13</xm:sqref>
        </x14:dataValidation>
        <x14:dataValidation type="list" allowBlank="1" showInputMessage="1" showErrorMessage="1" xr:uid="{00000000-0002-0000-0000-000011000000}">
          <x14:formula1>
            <xm:f>'Apoio - Posto'!#REF!</xm:f>
          </x14:formula1>
          <xm:sqref>G10:G11</xm:sqref>
        </x14:dataValidation>
        <x14:dataValidation type="list" allowBlank="1" showInputMessage="1" showErrorMessage="1" xr:uid="{00000000-0002-0000-0000-000012000000}">
          <x14:formula1>
            <xm:f>'Apoio - Regime de Trabalho'!$A:$A</xm:f>
          </x14:formula1>
          <xm:sqref>E26:AD26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3"/>
  <dimension ref="A1:J36"/>
  <sheetViews>
    <sheetView showGridLines="0" workbookViewId="0">
      <selection activeCell="J8" sqref="J8"/>
    </sheetView>
  </sheetViews>
  <sheetFormatPr defaultRowHeight="15"/>
  <cols>
    <col min="1" max="1" width="70.42578125" customWidth="1"/>
    <col min="5" max="5" width="59.85546875" customWidth="1"/>
    <col min="6" max="6" width="9.85546875" customWidth="1"/>
    <col min="7" max="7" width="13" style="2" customWidth="1"/>
    <col min="10" max="10" width="60.42578125" bestFit="1" customWidth="1"/>
  </cols>
  <sheetData>
    <row r="1" spans="1:10">
      <c r="A1" s="450"/>
      <c r="D1" s="450"/>
      <c r="E1" s="450"/>
      <c r="F1" s="450"/>
      <c r="G1" s="450"/>
      <c r="I1" s="450"/>
      <c r="J1" s="450"/>
    </row>
    <row r="2" spans="1:10">
      <c r="A2" s="448" t="s">
        <v>285</v>
      </c>
      <c r="D2" s="382" t="str">
        <f t="shared" ref="D2:D29" si="0">IF(AND(G2&gt;0,ISNUMBER(G2)),ROW(),"")</f>
        <v/>
      </c>
      <c r="E2" s="382" t="str">
        <f>Produtividade!C194</f>
        <v>2.A - Áreas internas</v>
      </c>
      <c r="F2" s="382"/>
      <c r="G2" s="390" t="str">
        <f>IFERROR(INDEX(Produtividade!L:L,MATCH(E2,Produtividade!C:C,0)),"")</f>
        <v>Área mensal</v>
      </c>
      <c r="I2" s="382" t="str">
        <f>IFERROR(SMALL(D:D,ROW()-1),"")</f>
        <v/>
      </c>
      <c r="J2" s="382" t="str">
        <f t="shared" ref="J2:J19" si="1">IF($I2="","",INDEX(E:E,MATCH($I2,$D:$D,0)))</f>
        <v/>
      </c>
    </row>
    <row r="3" spans="1:10">
      <c r="A3" s="448" t="s">
        <v>286</v>
      </c>
      <c r="D3" s="382" t="str">
        <f t="shared" si="0"/>
        <v/>
      </c>
      <c r="E3" s="382" t="str">
        <f>Produtividade!C195</f>
        <v>Pisos acarpetados</v>
      </c>
      <c r="F3" s="382" t="s">
        <v>445</v>
      </c>
      <c r="G3" s="390">
        <f>IFERROR(INDEX(Produtividade!L:L,MATCH(E3,Produtividade!C:C,0)),"")</f>
        <v>0</v>
      </c>
      <c r="I3" s="382" t="str">
        <f t="shared" ref="I3:I19" si="2">IFERROR(SMALL(D:D,ROW()-1),"")</f>
        <v/>
      </c>
      <c r="J3" s="382" t="str">
        <f t="shared" si="1"/>
        <v/>
      </c>
    </row>
    <row r="4" spans="1:10">
      <c r="A4" s="448" t="s">
        <v>287</v>
      </c>
      <c r="D4" s="382" t="str">
        <f t="shared" si="0"/>
        <v/>
      </c>
      <c r="E4" s="382" t="str">
        <f>Produtividade!C196</f>
        <v>Pisos Frios</v>
      </c>
      <c r="F4" s="382" t="s">
        <v>445</v>
      </c>
      <c r="G4" s="390">
        <f>IFERROR(INDEX(Produtividade!L:L,MATCH(E4,Produtividade!C:C,0)),"")</f>
        <v>0</v>
      </c>
      <c r="I4" s="382" t="str">
        <f t="shared" si="2"/>
        <v/>
      </c>
      <c r="J4" s="382" t="str">
        <f t="shared" si="1"/>
        <v/>
      </c>
    </row>
    <row r="5" spans="1:10">
      <c r="A5" s="448" t="s">
        <v>288</v>
      </c>
      <c r="D5" s="382" t="str">
        <f t="shared" si="0"/>
        <v/>
      </c>
      <c r="E5" s="382" t="str">
        <f>Produtividade!C197</f>
        <v>Laboratoriais</v>
      </c>
      <c r="F5" s="382" t="s">
        <v>445</v>
      </c>
      <c r="G5" s="390">
        <f>IFERROR(INDEX(Produtividade!L:L,MATCH(E5,Produtividade!C:C,0)),"")</f>
        <v>0</v>
      </c>
      <c r="I5" s="382" t="str">
        <f t="shared" si="2"/>
        <v/>
      </c>
      <c r="J5" s="382" t="str">
        <f t="shared" si="1"/>
        <v/>
      </c>
    </row>
    <row r="6" spans="1:10">
      <c r="A6" s="448" t="s">
        <v>289</v>
      </c>
      <c r="D6" s="382" t="str">
        <f t="shared" si="0"/>
        <v/>
      </c>
      <c r="E6" s="382" t="str">
        <f>Produtividade!C198</f>
        <v>Almoxarifados/galpões</v>
      </c>
      <c r="F6" s="382" t="s">
        <v>445</v>
      </c>
      <c r="G6" s="390">
        <f>IFERROR(INDEX(Produtividade!L:L,MATCH(E6,Produtividade!C:C,0)),"")</f>
        <v>0</v>
      </c>
      <c r="I6" s="382" t="str">
        <f t="shared" si="2"/>
        <v/>
      </c>
      <c r="J6" s="382" t="str">
        <f t="shared" si="1"/>
        <v/>
      </c>
    </row>
    <row r="7" spans="1:10">
      <c r="A7" s="448" t="s">
        <v>290</v>
      </c>
      <c r="D7" s="382" t="str">
        <f t="shared" si="0"/>
        <v/>
      </c>
      <c r="E7" s="382" t="str">
        <f>Produtividade!C199</f>
        <v>Oficinas</v>
      </c>
      <c r="F7" s="382" t="s">
        <v>445</v>
      </c>
      <c r="G7" s="390">
        <f>IFERROR(INDEX(Produtividade!L:L,MATCH(E7,Produtividade!C:C,0)),"")</f>
        <v>0</v>
      </c>
      <c r="I7" s="382" t="str">
        <f t="shared" si="2"/>
        <v/>
      </c>
      <c r="J7" s="382" t="str">
        <f t="shared" si="1"/>
        <v/>
      </c>
    </row>
    <row r="8" spans="1:10">
      <c r="A8" s="448" t="s">
        <v>291</v>
      </c>
      <c r="D8" s="382" t="str">
        <f t="shared" si="0"/>
        <v/>
      </c>
      <c r="E8" s="382" t="str">
        <f>Produtividade!C200</f>
        <v>Áreas com espaços livres - saguão, hall e salão</v>
      </c>
      <c r="F8" s="382" t="s">
        <v>445</v>
      </c>
      <c r="G8" s="390">
        <f>IFERROR(INDEX(Produtividade!L:L,MATCH(E8,Produtividade!C:C,0)),"")</f>
        <v>0</v>
      </c>
      <c r="I8" s="382" t="str">
        <f t="shared" si="2"/>
        <v/>
      </c>
      <c r="J8" s="382" t="str">
        <f t="shared" si="1"/>
        <v/>
      </c>
    </row>
    <row r="9" spans="1:10">
      <c r="A9" s="448" t="s">
        <v>292</v>
      </c>
      <c r="D9" s="382" t="str">
        <f t="shared" si="0"/>
        <v/>
      </c>
      <c r="E9" s="382" t="str">
        <f>Produtividade!C201</f>
        <v>Banheiros</v>
      </c>
      <c r="F9" s="382" t="s">
        <v>445</v>
      </c>
      <c r="G9" s="390">
        <f>IFERROR(INDEX(Produtividade!L:L,MATCH(E9,Produtividade!C:C,0)),"")</f>
        <v>0</v>
      </c>
      <c r="I9" s="382" t="str">
        <f t="shared" si="2"/>
        <v/>
      </c>
      <c r="J9" s="382" t="str">
        <f t="shared" si="1"/>
        <v/>
      </c>
    </row>
    <row r="10" spans="1:10">
      <c r="A10" s="448" t="s">
        <v>293</v>
      </c>
      <c r="D10" s="382" t="str">
        <f t="shared" si="0"/>
        <v/>
      </c>
      <c r="E10" s="382">
        <f>Produtividade!C202</f>
        <v>0</v>
      </c>
      <c r="F10" s="382"/>
      <c r="G10" s="390" t="str">
        <f>IFERROR(INDEX(Produtividade!L:L,MATCH(E10,Produtividade!C:C,0)),"")</f>
        <v/>
      </c>
      <c r="I10" s="382" t="str">
        <f t="shared" si="2"/>
        <v/>
      </c>
      <c r="J10" s="382" t="str">
        <f t="shared" si="1"/>
        <v/>
      </c>
    </row>
    <row r="11" spans="1:10">
      <c r="A11" s="448" t="s">
        <v>294</v>
      </c>
      <c r="D11" s="382" t="str">
        <f t="shared" si="0"/>
        <v/>
      </c>
      <c r="E11" s="382" t="str">
        <f>Produtividade!C203</f>
        <v>2.B - Áreas externas</v>
      </c>
      <c r="F11" s="382"/>
      <c r="G11" s="390" t="str">
        <f>IFERROR(INDEX(Produtividade!L:L,MATCH(E11,Produtividade!C:C,0)),"")</f>
        <v>Área mensal</v>
      </c>
      <c r="I11" s="382" t="str">
        <f t="shared" si="2"/>
        <v/>
      </c>
      <c r="J11" s="382" t="str">
        <f t="shared" si="1"/>
        <v/>
      </c>
    </row>
    <row r="12" spans="1:10">
      <c r="A12" s="448" t="s">
        <v>295</v>
      </c>
      <c r="D12" s="382" t="str">
        <f t="shared" si="0"/>
        <v/>
      </c>
      <c r="E12" s="382" t="str">
        <f>Produtividade!C204</f>
        <v>Pisos pavimentados adjacentes/contíguos às edificações</v>
      </c>
      <c r="F12" s="382" t="s">
        <v>446</v>
      </c>
      <c r="G12" s="390">
        <f>IFERROR(INDEX(Produtividade!L:L,MATCH(E12,Produtividade!C:C,0)),"")</f>
        <v>0</v>
      </c>
      <c r="I12" s="382" t="str">
        <f t="shared" si="2"/>
        <v/>
      </c>
      <c r="J12" s="382" t="str">
        <f t="shared" si="1"/>
        <v/>
      </c>
    </row>
    <row r="13" spans="1:10">
      <c r="A13" s="448" t="s">
        <v>296</v>
      </c>
      <c r="D13" s="382" t="str">
        <f t="shared" si="0"/>
        <v/>
      </c>
      <c r="E13" s="382" t="str">
        <f>Produtividade!C205</f>
        <v>Varrição de passeios e arruamentos</v>
      </c>
      <c r="F13" s="382" t="s">
        <v>446</v>
      </c>
      <c r="G13" s="390">
        <f>IFERROR(INDEX(Produtividade!L:L,MATCH(E13,Produtividade!C:C,0)),"")</f>
        <v>0</v>
      </c>
      <c r="I13" s="382" t="str">
        <f t="shared" si="2"/>
        <v/>
      </c>
      <c r="J13" s="382" t="str">
        <f t="shared" si="1"/>
        <v/>
      </c>
    </row>
    <row r="14" spans="1:10">
      <c r="A14" s="448" t="s">
        <v>297</v>
      </c>
      <c r="D14" s="382" t="str">
        <f t="shared" si="0"/>
        <v/>
      </c>
      <c r="E14" s="382" t="str">
        <f>Produtividade!C206</f>
        <v>Pátios e áreas verdes com alta frequência</v>
      </c>
      <c r="F14" s="382" t="s">
        <v>446</v>
      </c>
      <c r="G14" s="390">
        <f>IFERROR(INDEX(Produtividade!L:L,MATCH(E14,Produtividade!C:C,0)),"")</f>
        <v>0</v>
      </c>
      <c r="I14" s="382" t="str">
        <f t="shared" si="2"/>
        <v/>
      </c>
      <c r="J14" s="382" t="str">
        <f t="shared" si="1"/>
        <v/>
      </c>
    </row>
    <row r="15" spans="1:10">
      <c r="A15" s="448" t="s">
        <v>298</v>
      </c>
      <c r="D15" s="382" t="str">
        <f t="shared" si="0"/>
        <v/>
      </c>
      <c r="E15" s="382" t="str">
        <f>Produtividade!C207</f>
        <v>Pátios e áreas verdes com média frequência</v>
      </c>
      <c r="F15" s="382" t="s">
        <v>446</v>
      </c>
      <c r="G15" s="390">
        <f>IFERROR(INDEX(Produtividade!L:L,MATCH(E15,Produtividade!C:C,0)),"")</f>
        <v>0</v>
      </c>
      <c r="I15" s="382" t="str">
        <f t="shared" si="2"/>
        <v/>
      </c>
      <c r="J15" s="382" t="str">
        <f t="shared" si="1"/>
        <v/>
      </c>
    </row>
    <row r="16" spans="1:10">
      <c r="A16" s="448" t="s">
        <v>299</v>
      </c>
      <c r="D16" s="382" t="str">
        <f t="shared" si="0"/>
        <v/>
      </c>
      <c r="E16" s="382" t="str">
        <f>Produtividade!C208</f>
        <v>Pátios e áreas verdes com baixa frequência</v>
      </c>
      <c r="F16" s="382" t="s">
        <v>446</v>
      </c>
      <c r="G16" s="390">
        <f>IFERROR(INDEX(Produtividade!L:L,MATCH(E16,Produtividade!C:C,0)),"")</f>
        <v>0</v>
      </c>
      <c r="I16" s="382" t="str">
        <f t="shared" si="2"/>
        <v/>
      </c>
      <c r="J16" s="382" t="str">
        <f t="shared" si="1"/>
        <v/>
      </c>
    </row>
    <row r="17" spans="1:10">
      <c r="A17" s="448" t="s">
        <v>300</v>
      </c>
      <c r="D17" s="382" t="str">
        <f t="shared" si="0"/>
        <v/>
      </c>
      <c r="E17" s="382" t="str">
        <f>Produtividade!C209</f>
        <v>Coleta de detritos em pátios e áreas verdes com frequência diária</v>
      </c>
      <c r="F17" s="382" t="s">
        <v>446</v>
      </c>
      <c r="G17" s="390">
        <f>IFERROR(INDEX(Produtividade!L:L,MATCH(E17,Produtividade!C:C,0)),"")</f>
        <v>0</v>
      </c>
      <c r="I17" s="382" t="str">
        <f t="shared" si="2"/>
        <v/>
      </c>
      <c r="J17" s="382" t="str">
        <f t="shared" si="1"/>
        <v/>
      </c>
    </row>
    <row r="18" spans="1:10">
      <c r="A18" s="448" t="s">
        <v>301</v>
      </c>
      <c r="D18" s="382" t="str">
        <f t="shared" si="0"/>
        <v/>
      </c>
      <c r="E18" s="382">
        <f>Produtividade!C210</f>
        <v>0</v>
      </c>
      <c r="F18" s="382"/>
      <c r="G18" s="390" t="str">
        <f>IFERROR(INDEX(Produtividade!L:L,MATCH(E18,Produtividade!C:C,0)),"")</f>
        <v/>
      </c>
      <c r="I18" s="382" t="str">
        <f t="shared" si="2"/>
        <v/>
      </c>
      <c r="J18" s="382" t="str">
        <f t="shared" si="1"/>
        <v/>
      </c>
    </row>
    <row r="19" spans="1:10">
      <c r="A19" s="448" t="s">
        <v>302</v>
      </c>
      <c r="D19" s="382" t="str">
        <f t="shared" si="0"/>
        <v/>
      </c>
      <c r="E19" s="382" t="str">
        <f>Produtividade!C211</f>
        <v>2.C - Esquadrias externas</v>
      </c>
      <c r="F19" s="382"/>
      <c r="G19" s="390" t="str">
        <f>IFERROR(INDEX(Produtividade!L:L,MATCH(E19,Produtividade!C:C,0)),"")</f>
        <v>Área mensal</v>
      </c>
      <c r="I19" s="382" t="str">
        <f t="shared" si="2"/>
        <v/>
      </c>
      <c r="J19" s="382" t="str">
        <f t="shared" si="1"/>
        <v/>
      </c>
    </row>
    <row r="20" spans="1:10">
      <c r="A20" s="448" t="s">
        <v>303</v>
      </c>
      <c r="D20" s="382" t="str">
        <f t="shared" si="0"/>
        <v/>
      </c>
      <c r="E20" s="382" t="str">
        <f>Produtividade!C212</f>
        <v>Face externa com exposição a situação de risco</v>
      </c>
      <c r="F20" s="382" t="s">
        <v>475</v>
      </c>
      <c r="G20" s="390">
        <f>IFERROR(INDEX(Produtividade!L:L,MATCH(E20,Produtividade!C:C,0)),"")</f>
        <v>0</v>
      </c>
      <c r="I20" t="str">
        <f t="shared" ref="I20:I25" si="3">IFERROR(SMALL(D:D,ROW()-1),"")</f>
        <v/>
      </c>
      <c r="J20" t="str">
        <f t="shared" ref="J20:J25" si="4">IF($I20="","",INDEX(E:E,MATCH($I20,$D:$D,0)))</f>
        <v/>
      </c>
    </row>
    <row r="21" spans="1:10">
      <c r="A21" s="448" t="s">
        <v>304</v>
      </c>
      <c r="D21" s="382" t="str">
        <f t="shared" si="0"/>
        <v/>
      </c>
      <c r="E21" s="382" t="str">
        <f>Produtividade!C213</f>
        <v>Face externa sem exposição a situação de risco</v>
      </c>
      <c r="F21" s="382" t="s">
        <v>475</v>
      </c>
      <c r="G21" s="390">
        <f>IFERROR(INDEX(Produtividade!L:L,MATCH(E21,Produtividade!C:C,0)),"")</f>
        <v>0</v>
      </c>
      <c r="I21" t="str">
        <f t="shared" si="3"/>
        <v/>
      </c>
      <c r="J21" t="str">
        <f t="shared" si="4"/>
        <v/>
      </c>
    </row>
    <row r="22" spans="1:10">
      <c r="A22" s="448" t="s">
        <v>305</v>
      </c>
      <c r="D22" s="382" t="str">
        <f t="shared" si="0"/>
        <v/>
      </c>
      <c r="E22" s="382" t="str">
        <f>Produtividade!C214</f>
        <v>Face interna</v>
      </c>
      <c r="F22" s="382" t="s">
        <v>475</v>
      </c>
      <c r="G22" s="390">
        <f>IFERROR(INDEX(Produtividade!L:L,MATCH(E22,Produtividade!C:C,0)),"")</f>
        <v>0</v>
      </c>
      <c r="I22" t="str">
        <f t="shared" si="3"/>
        <v/>
      </c>
      <c r="J22" t="str">
        <f t="shared" si="4"/>
        <v/>
      </c>
    </row>
    <row r="23" spans="1:10">
      <c r="A23" s="448" t="s">
        <v>306</v>
      </c>
      <c r="D23" s="382" t="str">
        <f t="shared" si="0"/>
        <v/>
      </c>
      <c r="E23" s="382">
        <f>Produtividade!C215</f>
        <v>0</v>
      </c>
      <c r="F23" s="382"/>
      <c r="G23" s="390" t="str">
        <f>IFERROR(INDEX(Produtividade!L:L,MATCH(E23,Produtividade!C:C,0)),"")</f>
        <v/>
      </c>
      <c r="I23" t="str">
        <f t="shared" si="3"/>
        <v/>
      </c>
      <c r="J23" t="str">
        <f t="shared" si="4"/>
        <v/>
      </c>
    </row>
    <row r="24" spans="1:10">
      <c r="A24" s="448" t="s">
        <v>307</v>
      </c>
      <c r="D24" s="382" t="str">
        <f t="shared" si="0"/>
        <v/>
      </c>
      <c r="E24" s="382" t="str">
        <f>Produtividade!C216</f>
        <v>2.D - Fachadas</v>
      </c>
      <c r="F24" s="382"/>
      <c r="G24" s="390" t="str">
        <f>IFERROR(INDEX(Produtividade!L:L,MATCH(E24,Produtividade!C:C,0)),"")</f>
        <v>Área mensal</v>
      </c>
      <c r="I24" t="str">
        <f t="shared" si="3"/>
        <v/>
      </c>
      <c r="J24" t="str">
        <f t="shared" si="4"/>
        <v/>
      </c>
    </row>
    <row r="25" spans="1:10">
      <c r="A25" s="448" t="s">
        <v>308</v>
      </c>
      <c r="D25" s="382" t="str">
        <f t="shared" si="0"/>
        <v/>
      </c>
      <c r="E25" s="382" t="str">
        <f>Produtividade!C217</f>
        <v>Fachadas Envidraçadas</v>
      </c>
      <c r="F25" s="382" t="s">
        <v>476</v>
      </c>
      <c r="G25" s="390">
        <f>IFERROR(INDEX(Produtividade!L:L,MATCH(E25,Produtividade!C:C,0)),"")</f>
        <v>0</v>
      </c>
      <c r="I25" t="str">
        <f t="shared" si="3"/>
        <v/>
      </c>
      <c r="J25" t="str">
        <f t="shared" si="4"/>
        <v/>
      </c>
    </row>
    <row r="26" spans="1:10">
      <c r="A26" s="448" t="s">
        <v>309</v>
      </c>
      <c r="D26" s="382" t="str">
        <f t="shared" si="0"/>
        <v/>
      </c>
      <c r="E26" s="382">
        <f>Produtividade!C218</f>
        <v>0</v>
      </c>
      <c r="F26" s="382"/>
      <c r="G26" s="390" t="str">
        <f>IFERROR(INDEX(Produtividade!L:L,MATCH(E26,Produtividade!C:C,0)),"")</f>
        <v/>
      </c>
      <c r="I26" t="str">
        <f>IFERROR(SMALL(D:D,ROW()-1),"")</f>
        <v/>
      </c>
      <c r="J26" t="str">
        <f>IF($I26="","",INDEX(E:E,MATCH($I26,$D:$D,0)))</f>
        <v/>
      </c>
    </row>
    <row r="27" spans="1:10">
      <c r="A27" s="448" t="s">
        <v>310</v>
      </c>
      <c r="D27" s="382" t="str">
        <f t="shared" si="0"/>
        <v/>
      </c>
      <c r="E27" s="382" t="str">
        <f>Produtividade!C219</f>
        <v>2.E - Áreas Hospitalares</v>
      </c>
      <c r="F27" s="382"/>
      <c r="G27" s="390" t="str">
        <f>IFERROR(INDEX(Produtividade!L:L,MATCH(E27,Produtividade!C:C,0)),"")</f>
        <v>Área mensal</v>
      </c>
      <c r="I27" t="str">
        <f>IFERROR(SMALL(D:D,ROW()-1),"")</f>
        <v/>
      </c>
      <c r="J27" t="str">
        <f>IF($I27="","",INDEX(E:E,MATCH($I27,$D:$D,0)))</f>
        <v/>
      </c>
    </row>
    <row r="28" spans="1:10">
      <c r="A28" s="448" t="s">
        <v>311</v>
      </c>
      <c r="D28" s="382" t="str">
        <f t="shared" si="0"/>
        <v/>
      </c>
      <c r="E28" s="382" t="str">
        <f>Produtividade!C220</f>
        <v>Áreas Hospitalares e assemelhadas</v>
      </c>
      <c r="F28" s="382" t="s">
        <v>477</v>
      </c>
      <c r="G28" s="390">
        <f>IFERROR(INDEX(Produtividade!L:L,MATCH(E28,Produtividade!C:C,0)),"")</f>
        <v>0</v>
      </c>
      <c r="I28" t="str">
        <f>IFERROR(SMALL(D:D,ROW()-1),"")</f>
        <v/>
      </c>
      <c r="J28" t="str">
        <f>IF($I28="","",INDEX(E:E,MATCH($I28,$D:$D,0)))</f>
        <v/>
      </c>
    </row>
    <row r="29" spans="1:10">
      <c r="A29" s="448" t="s">
        <v>312</v>
      </c>
      <c r="D29" s="382" t="str">
        <f t="shared" si="0"/>
        <v/>
      </c>
      <c r="E29" s="382">
        <f>Produtividade!C221</f>
        <v>0</v>
      </c>
      <c r="F29" s="382"/>
      <c r="G29" s="390" t="str">
        <f>IFERROR(INDEX(Produtividade!L:L,MATCH(E29,Produtividade!C:C,0)),"")</f>
        <v/>
      </c>
      <c r="I29" t="str">
        <f>IFERROR(SMALL(D:D,ROW()-1),"")</f>
        <v/>
      </c>
      <c r="J29" t="str">
        <f>IF($I29="","",INDEX(E:E,MATCH($I29,$D:$D,0)))</f>
        <v/>
      </c>
    </row>
    <row r="30" spans="1:10">
      <c r="A30" s="448" t="s">
        <v>313</v>
      </c>
      <c r="G30"/>
    </row>
    <row r="31" spans="1:10">
      <c r="A31" s="448" t="s">
        <v>314</v>
      </c>
      <c r="G31"/>
    </row>
    <row r="32" spans="1:10">
      <c r="A32" s="448" t="s">
        <v>315</v>
      </c>
      <c r="G32"/>
    </row>
    <row r="33" spans="1:1">
      <c r="A33" s="448"/>
    </row>
    <row r="34" spans="1:1">
      <c r="A34" s="448"/>
    </row>
    <row r="35" spans="1:1">
      <c r="A35" s="448"/>
    </row>
    <row r="36" spans="1:1">
      <c r="A36" s="449"/>
    </row>
  </sheetData>
  <sheetProtection algorithmName="SHA-512" hashValue="ZMX2kdvePQgNSEeFvpdi9HxCb+ujXLEpAHnB/7op7IZxJJPdiEuWCgqti95D+Oj3oru0AqhWB63FnFYnxycdvg==" saltValue="ZDOCMHnetJaErTFlju+95A==" spinCount="100000" sheet="1" objects="1" scenarios="1"/>
  <conditionalFormatting sqref="G2:G29">
    <cfRule type="expression" dxfId="0" priority="1">
      <formula>$H$5=1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BA220"/>
  <sheetViews>
    <sheetView showGridLines="0" zoomScale="80" zoomScaleNormal="80" workbookViewId="0">
      <selection activeCell="D23" sqref="D23"/>
    </sheetView>
  </sheetViews>
  <sheetFormatPr defaultColWidth="9.140625" defaultRowHeight="15"/>
  <cols>
    <col min="1" max="1" width="2.140625" style="1" customWidth="1"/>
    <col min="2" max="2" width="4.28515625" style="78" customWidth="1"/>
    <col min="3" max="3" width="57.140625" style="9" customWidth="1"/>
    <col min="4" max="4" width="17.140625" style="10" customWidth="1"/>
    <col min="5" max="5" width="17.140625" style="9" customWidth="1"/>
    <col min="6" max="7" width="17.140625" style="1" customWidth="1"/>
    <col min="8" max="8" width="15.5703125" style="1" bestFit="1" customWidth="1"/>
    <col min="9" max="9" width="7.42578125" style="1" hidden="1" customWidth="1"/>
    <col min="10" max="10" width="2.140625" style="297" customWidth="1"/>
    <col min="11" max="11" width="2.140625" style="297" hidden="1" customWidth="1"/>
    <col min="12" max="14" width="16" style="297" customWidth="1"/>
    <col min="15" max="15" width="15.85546875" style="297" customWidth="1"/>
    <col min="16" max="16" width="9.140625" style="297"/>
    <col min="17" max="17" width="12.42578125" style="297" bestFit="1" customWidth="1"/>
    <col min="18" max="18" width="12.85546875" style="297" customWidth="1"/>
    <col min="19" max="53" width="9.140625" style="297"/>
    <col min="54" max="16384" width="9.140625" style="1"/>
  </cols>
  <sheetData>
    <row r="1" spans="1:53" customFormat="1" ht="11.25" customHeight="1">
      <c r="A1" s="44"/>
      <c r="B1" s="77"/>
      <c r="C1" s="45"/>
      <c r="D1" s="45"/>
      <c r="E1" s="45"/>
      <c r="F1" s="45"/>
      <c r="G1" s="45"/>
      <c r="H1" s="45"/>
      <c r="I1" s="46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customFormat="1" ht="57" customHeight="1">
      <c r="A2" s="889" t="str">
        <f>CONCATENATE("PREFEITURA MUNICIPAL DE PORTO ALEGRE
",D5,"
FORMAÇÃO DE PREÇOS DE REFERÊNCIA - CESSÃO DE MÃO DE OBRA")</f>
        <v>PREFEITURA MUNICIPAL DE PORTO ALEGRE
FORMAÇÃO DE PREÇOS DE REFERÊNCIA - CESSÃO DE MÃO DE OBRA</v>
      </c>
      <c r="B2" s="890"/>
      <c r="C2" s="890"/>
      <c r="D2" s="890"/>
      <c r="E2" s="890"/>
      <c r="F2" s="890"/>
      <c r="G2" s="890"/>
      <c r="H2" s="890"/>
      <c r="I2" s="89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customFormat="1" ht="18.75" customHeight="1">
      <c r="A3" s="22"/>
      <c r="B3" s="12"/>
      <c r="C3" s="23"/>
      <c r="D3" s="23"/>
      <c r="E3" s="23"/>
      <c r="F3" s="23"/>
      <c r="G3" s="23"/>
      <c r="H3" s="23"/>
      <c r="I3" s="2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customFormat="1" ht="15" customHeight="1">
      <c r="A4" s="1"/>
      <c r="B4" s="84"/>
      <c r="C4" s="85"/>
      <c r="D4" s="122"/>
      <c r="E4" s="114"/>
      <c r="G4" s="11"/>
      <c r="H4" s="11"/>
      <c r="I4" s="1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customFormat="1" ht="15.75" customHeight="1">
      <c r="A5" s="1"/>
      <c r="B5" s="112" t="s">
        <v>2</v>
      </c>
      <c r="C5" s="113" t="s">
        <v>330</v>
      </c>
      <c r="D5" s="892"/>
      <c r="E5" s="892"/>
      <c r="F5" s="1"/>
      <c r="G5" s="46"/>
      <c r="H5" s="47">
        <v>3</v>
      </c>
      <c r="I5" s="1"/>
      <c r="J5" s="39"/>
      <c r="K5" s="39"/>
      <c r="L5" s="297"/>
      <c r="M5" s="29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customFormat="1">
      <c r="A6" s="1"/>
      <c r="B6" s="111" t="s">
        <v>1</v>
      </c>
      <c r="C6" s="113" t="s">
        <v>234</v>
      </c>
      <c r="D6" s="893"/>
      <c r="E6" s="893"/>
      <c r="F6" s="1"/>
      <c r="G6" s="22"/>
      <c r="H6" s="64"/>
      <c r="I6" s="1"/>
      <c r="J6" s="39"/>
      <c r="K6" s="39"/>
      <c r="L6" s="297"/>
      <c r="M6" s="297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customFormat="1">
      <c r="A7" s="1"/>
      <c r="B7" s="112" t="s">
        <v>0</v>
      </c>
      <c r="C7" s="113" t="s">
        <v>233</v>
      </c>
      <c r="D7" s="893"/>
      <c r="E7" s="893"/>
      <c r="F7" s="1"/>
      <c r="G7" s="22"/>
      <c r="H7" s="64"/>
      <c r="I7" s="1"/>
      <c r="J7" s="39"/>
      <c r="K7" s="39"/>
      <c r="L7" s="297"/>
      <c r="M7" s="2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customFormat="1">
      <c r="A8" s="1"/>
      <c r="B8" s="111" t="s">
        <v>3</v>
      </c>
      <c r="C8" s="113" t="s">
        <v>232</v>
      </c>
      <c r="D8" s="892"/>
      <c r="E8" s="892"/>
      <c r="F8" s="1"/>
      <c r="G8" s="65"/>
      <c r="H8" s="64"/>
      <c r="I8" s="1"/>
      <c r="J8" s="39"/>
      <c r="K8" s="39"/>
      <c r="L8" s="297"/>
      <c r="M8" s="29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customFormat="1">
      <c r="B9" s="112" t="s">
        <v>7</v>
      </c>
      <c r="C9" s="113" t="s">
        <v>555</v>
      </c>
      <c r="D9" s="888"/>
      <c r="E9" s="888"/>
      <c r="F9" s="1"/>
      <c r="J9" s="39"/>
      <c r="K9" s="39"/>
      <c r="L9" s="297"/>
      <c r="M9" s="29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1:53" customFormat="1">
      <c r="A10" s="1"/>
      <c r="B10" s="111" t="s">
        <v>6</v>
      </c>
      <c r="C10" s="9" t="s">
        <v>556</v>
      </c>
      <c r="D10" s="897"/>
      <c r="E10" s="897"/>
      <c r="F10" s="1"/>
      <c r="G10" s="1"/>
      <c r="I10" s="1"/>
      <c r="J10" s="39"/>
      <c r="K10" s="39"/>
      <c r="L10" s="297"/>
      <c r="M10" s="29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customFormat="1">
      <c r="A11" s="1"/>
      <c r="B11" s="111" t="s">
        <v>5</v>
      </c>
      <c r="C11" s="113" t="s">
        <v>538</v>
      </c>
      <c r="D11" s="899" t="s">
        <v>358</v>
      </c>
      <c r="E11" s="899"/>
      <c r="F11" s="1"/>
      <c r="G11" s="1"/>
      <c r="I11" s="1"/>
      <c r="J11" s="39"/>
      <c r="K11" s="39"/>
      <c r="L11" s="297"/>
      <c r="M11" s="29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customFormat="1">
      <c r="B12" s="112" t="s">
        <v>4</v>
      </c>
      <c r="C12" s="113" t="s">
        <v>503</v>
      </c>
      <c r="D12" s="898">
        <v>12</v>
      </c>
      <c r="E12" s="898"/>
      <c r="F12" s="1"/>
      <c r="G12" s="1"/>
      <c r="J12" s="39"/>
      <c r="K12" s="39"/>
      <c r="L12" s="297"/>
      <c r="M12" s="297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>
      <c r="B13" s="111" t="s">
        <v>141</v>
      </c>
      <c r="C13" s="113" t="s">
        <v>74</v>
      </c>
      <c r="D13" s="899" t="s">
        <v>61</v>
      </c>
      <c r="E13" s="899"/>
    </row>
    <row r="14" spans="1:53">
      <c r="B14" s="112" t="s">
        <v>168</v>
      </c>
      <c r="C14" s="113" t="s">
        <v>351</v>
      </c>
      <c r="D14" s="900"/>
      <c r="E14" s="900"/>
    </row>
    <row r="15" spans="1:53">
      <c r="B15" s="112" t="s">
        <v>280</v>
      </c>
      <c r="C15" s="113" t="s">
        <v>404</v>
      </c>
      <c r="D15" s="901">
        <f>'Mão de Obra'!D15:E15</f>
        <v>1412</v>
      </c>
      <c r="E15" s="902"/>
    </row>
    <row r="16" spans="1:53">
      <c r="A16" s="41"/>
      <c r="B16" s="307"/>
      <c r="C16" s="308"/>
      <c r="D16" s="309"/>
      <c r="E16" s="308"/>
      <c r="F16" s="121"/>
      <c r="G16" s="121"/>
      <c r="H16" s="121"/>
      <c r="I16" s="121"/>
    </row>
    <row r="17" spans="1:53" s="12" customFormat="1">
      <c r="A17" s="66"/>
      <c r="B17" s="84"/>
      <c r="C17" s="85" t="s">
        <v>231</v>
      </c>
      <c r="D17" s="122"/>
      <c r="E17" s="385" t="s">
        <v>459</v>
      </c>
      <c r="F17" s="385" t="s">
        <v>460</v>
      </c>
      <c r="G17" s="385" t="s">
        <v>461</v>
      </c>
      <c r="H17" s="385" t="s">
        <v>462</v>
      </c>
      <c r="I17" s="385" t="str">
        <f>CONCATENATE("Posto ",CHAR(COLUMN()+60))</f>
        <v>Posto E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</row>
    <row r="18" spans="1:53" s="59" customFormat="1" ht="30">
      <c r="A18" s="99"/>
      <c r="B18" s="110" t="s">
        <v>2</v>
      </c>
      <c r="C18" s="118" t="s">
        <v>354</v>
      </c>
      <c r="D18" s="115"/>
      <c r="E18" s="102" t="s">
        <v>385</v>
      </c>
      <c r="F18" s="102" t="s">
        <v>385</v>
      </c>
      <c r="G18" s="102" t="s">
        <v>392</v>
      </c>
      <c r="H18" s="102" t="s">
        <v>392</v>
      </c>
      <c r="I18" s="102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</row>
    <row r="19" spans="1:53">
      <c r="A19" s="100"/>
      <c r="B19" s="111" t="s">
        <v>1</v>
      </c>
      <c r="C19" s="119" t="s">
        <v>81</v>
      </c>
      <c r="D19" s="116"/>
      <c r="E19" s="103">
        <f>IFERROR(VLOOKUP(E$18,'Apoio - Posto'!$A:$J,2,FALSE),"")</f>
        <v>5143</v>
      </c>
      <c r="F19" s="103">
        <f>IFERROR(VLOOKUP(F$18,'Apoio - Posto'!$A:$J,2,FALSE),"")</f>
        <v>5143</v>
      </c>
      <c r="G19" s="103">
        <f>IFERROR(VLOOKUP(G$18,'Apoio - Posto'!$A:$J,2,FALSE),"")</f>
        <v>5143</v>
      </c>
      <c r="H19" s="103">
        <f>IFERROR(VLOOKUP(H$18,'Apoio - Posto'!$A:$J,2,FALSE),"")</f>
        <v>5143</v>
      </c>
      <c r="I19" s="103" t="str">
        <f>IFERROR(VLOOKUP(I$18,'Apoio - Posto'!$A:$J,2,FALSE),"")</f>
        <v/>
      </c>
    </row>
    <row r="20" spans="1:53">
      <c r="A20" s="101"/>
      <c r="B20" s="112" t="s">
        <v>0</v>
      </c>
      <c r="C20" s="120" t="s">
        <v>17</v>
      </c>
      <c r="D20" s="117"/>
      <c r="E20" s="104">
        <f>IFERROR(VLOOKUP(E$18,'Apoio - Posto'!$A:$AA,7,FALSE),"")</f>
        <v>1540.51</v>
      </c>
      <c r="F20" s="104">
        <f>IFERROR(VLOOKUP(F$18,'Apoio - Posto'!$A:$AA,7,FALSE),"")</f>
        <v>1540.51</v>
      </c>
      <c r="G20" s="104">
        <f>IFERROR(VLOOKUP(G$18,'Apoio - Posto'!$A:$AA,7,FALSE),"")</f>
        <v>1957.46</v>
      </c>
      <c r="H20" s="104">
        <f>IFERROR(VLOOKUP(H$18,'Apoio - Posto'!$A:$AA,7,FALSE),"")</f>
        <v>1957.46</v>
      </c>
      <c r="I20" s="104" t="str">
        <f>IFERROR(VLOOKUP(I$18,'Apoio - Posto'!$A:$AA,7,FALSE),"")</f>
        <v/>
      </c>
    </row>
    <row r="21" spans="1:53">
      <c r="A21" s="100"/>
      <c r="B21" s="111" t="s">
        <v>3</v>
      </c>
      <c r="C21" s="119" t="s">
        <v>560</v>
      </c>
      <c r="D21" s="116"/>
      <c r="E21" s="105">
        <f>IFERROR(VLOOKUP(E$18,'Apoio - Posto'!$A:$AA,8,FALSE),"")</f>
        <v>220</v>
      </c>
      <c r="F21" s="105">
        <f>IFERROR(VLOOKUP(F$18,'Apoio - Posto'!$A:$AA,8,FALSE),"")</f>
        <v>220</v>
      </c>
      <c r="G21" s="105">
        <f>IFERROR(VLOOKUP(G$18,'Apoio - Posto'!$A:$AA,8,FALSE),"")</f>
        <v>220</v>
      </c>
      <c r="H21" s="105">
        <f>IFERROR(VLOOKUP(H$18,'Apoio - Posto'!$A:$AA,8,FALSE),"")</f>
        <v>220</v>
      </c>
      <c r="I21" s="105" t="str">
        <f>IFERROR(VLOOKUP(I$18,'Apoio - Posto'!$A:$AA,8,FALSE),"")</f>
        <v/>
      </c>
    </row>
    <row r="22" spans="1:53">
      <c r="A22" s="101"/>
      <c r="B22" s="112" t="s">
        <v>7</v>
      </c>
      <c r="C22" s="120" t="s">
        <v>18</v>
      </c>
      <c r="D22" s="117"/>
      <c r="E22" s="475" t="str">
        <f>IFERROR(VLOOKUP(E$18,'Apoio - Posto'!$A:$J,3,FALSE),"")</f>
        <v>SINDASSEIO</v>
      </c>
      <c r="F22" s="475" t="str">
        <f>IFERROR(VLOOKUP(F$18,'Apoio - Posto'!$A:$J,3,FALSE),"")</f>
        <v>SINDASSEIO</v>
      </c>
      <c r="G22" s="475" t="str">
        <f>IFERROR(VLOOKUP(G$18,'Apoio - Posto'!$A:$J,3,FALSE),"")</f>
        <v>SINDASSEIO</v>
      </c>
      <c r="H22" s="475" t="str">
        <f>IFERROR(VLOOKUP(H$18,'Apoio - Posto'!$A:$J,3,FALSE),"")</f>
        <v>SINDASSEIO</v>
      </c>
      <c r="I22" s="103" t="str">
        <f>IFERROR(VLOOKUP(I$18,'Apoio - Posto'!$A:$J,3,FALSE),"")</f>
        <v/>
      </c>
    </row>
    <row r="23" spans="1:53">
      <c r="A23" s="100"/>
      <c r="B23" s="111" t="s">
        <v>6</v>
      </c>
      <c r="C23" s="119" t="s">
        <v>79</v>
      </c>
      <c r="D23" s="116"/>
      <c r="E23" s="106">
        <f>IFERROR(VLOOKUP(E$18,'Apoio - Posto'!$A:$J,5,FALSE),"")</f>
        <v>45292</v>
      </c>
      <c r="F23" s="106">
        <f>IFERROR(VLOOKUP(F$18,'Apoio - Posto'!$A:$J,5,FALSE),"")</f>
        <v>45292</v>
      </c>
      <c r="G23" s="106">
        <f>IFERROR(VLOOKUP(G$18,'Apoio - Posto'!$A:$J,5,FALSE),"")</f>
        <v>45292</v>
      </c>
      <c r="H23" s="106">
        <f>IFERROR(VLOOKUP(H$18,'Apoio - Posto'!$A:$J,5,FALSE),"")</f>
        <v>45292</v>
      </c>
      <c r="I23" s="106" t="str">
        <f>IFERROR(VLOOKUP(I$18,'Apoio - Posto'!$A:$J,5,FALSE),"")</f>
        <v/>
      </c>
    </row>
    <row r="24" spans="1:53">
      <c r="A24" s="101"/>
      <c r="B24" s="112" t="s">
        <v>5</v>
      </c>
      <c r="C24" s="120" t="s">
        <v>80</v>
      </c>
      <c r="D24" s="117"/>
      <c r="E24" s="471" t="str">
        <f>IFERROR(VLOOKUP(E$18,'Apoio - Posto'!$A:$J,4,FALSE),"")</f>
        <v>RS004917/2023</v>
      </c>
      <c r="F24" s="471" t="str">
        <f>IFERROR(VLOOKUP(F$18,'Apoio - Posto'!$A:$J,4,FALSE),"")</f>
        <v>RS004917/2023</v>
      </c>
      <c r="G24" s="471" t="str">
        <f>IFERROR(VLOOKUP(G$18,'Apoio - Posto'!$A:$J,4,FALSE),"")</f>
        <v>RS004917/2023</v>
      </c>
      <c r="H24" s="471" t="str">
        <f>IFERROR(VLOOKUP(H$18,'Apoio - Posto'!$A:$J,4,FALSE),"")</f>
        <v>RS004917/2023</v>
      </c>
      <c r="I24" s="107" t="str">
        <f>IFERROR(VLOOKUP(I$18,'Apoio - Posto'!$A:$J,4,FALSE),"")</f>
        <v/>
      </c>
    </row>
    <row r="25" spans="1:53" hidden="1">
      <c r="A25" s="101"/>
      <c r="B25" s="111" t="s">
        <v>4</v>
      </c>
      <c r="C25" s="119" t="s">
        <v>553</v>
      </c>
      <c r="D25" s="116"/>
      <c r="E25" s="108" t="s">
        <v>481</v>
      </c>
      <c r="F25" s="108" t="s">
        <v>481</v>
      </c>
      <c r="G25" s="108" t="s">
        <v>481</v>
      </c>
      <c r="H25" s="108" t="s">
        <v>481</v>
      </c>
      <c r="I25" s="108"/>
    </row>
    <row r="26" spans="1:53" hidden="1">
      <c r="A26" s="100"/>
      <c r="B26" s="112" t="s">
        <v>141</v>
      </c>
      <c r="C26" s="120" t="s">
        <v>561</v>
      </c>
      <c r="D26" s="117"/>
      <c r="E26" s="107" t="s">
        <v>587</v>
      </c>
      <c r="F26" s="107" t="s">
        <v>587</v>
      </c>
      <c r="G26" s="107" t="s">
        <v>587</v>
      </c>
      <c r="H26" s="107" t="s">
        <v>587</v>
      </c>
      <c r="I26" s="107"/>
    </row>
    <row r="27" spans="1:53" hidden="1">
      <c r="A27" s="101"/>
      <c r="B27" s="112" t="s">
        <v>168</v>
      </c>
      <c r="C27" s="119" t="s">
        <v>552</v>
      </c>
      <c r="D27" s="116"/>
      <c r="E27" s="103">
        <f>SUMPRODUCT(K195:K220,L195:L220)-G27</f>
        <v>0</v>
      </c>
      <c r="F27" s="103">
        <f>1/30*E27</f>
        <v>0</v>
      </c>
      <c r="G27" s="103">
        <f>SUM(IFERROR(L212/D212,0),IFERROR(L217/D217,0))</f>
        <v>0</v>
      </c>
      <c r="H27" s="103">
        <f>1/4*G27</f>
        <v>0</v>
      </c>
      <c r="I27" s="109"/>
    </row>
    <row r="28" spans="1:53" hidden="1">
      <c r="A28" s="100"/>
      <c r="B28" s="111" t="s">
        <v>280</v>
      </c>
      <c r="C28" s="119" t="s">
        <v>550</v>
      </c>
      <c r="D28" s="116"/>
      <c r="E28" s="103">
        <f>IFERROR(VLOOKUP(E26,'Apoio - Regime de Trabalho'!$A:$I,2,FALSE),"")</f>
        <v>1</v>
      </c>
      <c r="F28" s="103">
        <f>IFERROR(VLOOKUP(F26,'Apoio - Regime de Trabalho'!$A:$I,2,FALSE),"")</f>
        <v>1</v>
      </c>
      <c r="G28" s="103">
        <f>IFERROR(VLOOKUP(G26,'Apoio - Regime de Trabalho'!$A:$I,2,FALSE),"")</f>
        <v>1</v>
      </c>
      <c r="H28" s="103">
        <f>IFERROR(VLOOKUP(H26,'Apoio - Regime de Trabalho'!$A:$I,2,FALSE),"")</f>
        <v>1</v>
      </c>
      <c r="I28" s="103" t="str">
        <f>IFERROR(VLOOKUP(I26,'Apoio - Regime de Trabalho'!$A:$I,10,FALSE),"")</f>
        <v/>
      </c>
    </row>
    <row r="29" spans="1:53" hidden="1">
      <c r="A29" s="100"/>
      <c r="B29" s="111" t="s">
        <v>355</v>
      </c>
      <c r="C29" s="119" t="s">
        <v>551</v>
      </c>
      <c r="D29" s="116"/>
      <c r="E29" s="109">
        <f>IFERROR(IF(E18="","",E28*E27),"")</f>
        <v>0</v>
      </c>
      <c r="F29" s="109">
        <f>IFERROR(IF(F18="","",F28*F27),"")</f>
        <v>0</v>
      </c>
      <c r="G29" s="109">
        <f>IFERROR(IF(G18="","",G28*G27),"")</f>
        <v>0</v>
      </c>
      <c r="H29" s="109">
        <f>IFERROR(IF(H18="","",H28*H27),"")</f>
        <v>0</v>
      </c>
      <c r="I29" s="109" t="str">
        <f>IFERROR(IF(I18="","",I28*I27),"")</f>
        <v/>
      </c>
    </row>
    <row r="30" spans="1:53">
      <c r="B30" s="79"/>
      <c r="C30" s="123"/>
      <c r="D30" s="124"/>
      <c r="E30" s="125"/>
      <c r="F30" s="125"/>
      <c r="G30" s="125"/>
      <c r="H30" s="125"/>
      <c r="I30" s="125"/>
    </row>
    <row r="31" spans="1:53" s="12" customFormat="1">
      <c r="A31" s="67"/>
      <c r="B31" s="84"/>
      <c r="C31" s="85" t="s">
        <v>228</v>
      </c>
      <c r="D31" s="86"/>
      <c r="E31" s="368"/>
      <c r="F31" s="368"/>
      <c r="G31" s="368"/>
      <c r="H31" s="368"/>
      <c r="I31" s="368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</row>
    <row r="32" spans="1:53">
      <c r="A32" s="81"/>
      <c r="B32" s="181" t="s">
        <v>2</v>
      </c>
      <c r="C32" s="174" t="s">
        <v>240</v>
      </c>
      <c r="D32" s="226"/>
      <c r="E32" s="94">
        <f>IFERROR(E20*VLOOKUP(E26,'Apoio - Regime de Trabalho'!$A:$I,8,FALSE)/(E21),"")</f>
        <v>1540.51</v>
      </c>
      <c r="F32" s="94">
        <f>IFERROR(F20*VLOOKUP(F26,'Apoio - Regime de Trabalho'!$A:$I,8,FALSE)/(F21),"")</f>
        <v>1540.51</v>
      </c>
      <c r="G32" s="94">
        <f>IFERROR(G20*VLOOKUP(G26,'Apoio - Regime de Trabalho'!$A:$I,8,FALSE)/(G21),"")</f>
        <v>1957.46</v>
      </c>
      <c r="H32" s="94">
        <f>IFERROR(H20*VLOOKUP(H26,'Apoio - Regime de Trabalho'!$A:$I,8,FALSE)/(H21),"")</f>
        <v>1957.46</v>
      </c>
      <c r="I32" s="94" t="str">
        <f>IFERROR(ROUND(I20*VLOOKUP(I26,'Apoio - Regime de Trabalho'!$A:$I,8,FALSE)/(I21),2),"")</f>
        <v/>
      </c>
    </row>
    <row r="33" spans="1:9">
      <c r="A33" s="81"/>
      <c r="B33" s="903" t="s">
        <v>1</v>
      </c>
      <c r="C33" s="225" t="s">
        <v>236</v>
      </c>
      <c r="D33" s="166"/>
      <c r="E33" s="243"/>
      <c r="F33" s="243"/>
      <c r="G33" s="243"/>
      <c r="H33" s="243"/>
      <c r="I33" s="243"/>
    </row>
    <row r="34" spans="1:9">
      <c r="A34" s="81"/>
      <c r="B34" s="904"/>
      <c r="C34" s="233" t="s">
        <v>132</v>
      </c>
      <c r="D34" s="138"/>
      <c r="E34" s="244">
        <f>IFERROR(VLOOKUP(E$18,'Apoio - Posto'!$A:$AA,15,FALSE),"")</f>
        <v>0</v>
      </c>
      <c r="F34" s="244">
        <f>IFERROR(VLOOKUP(F$18,'Apoio - Posto'!$A:$AA,15,FALSE),"")</f>
        <v>0</v>
      </c>
      <c r="G34" s="244">
        <f>IFERROR(VLOOKUP(G$18,'Apoio - Posto'!$A:$AA,15,FALSE),"")</f>
        <v>0.3</v>
      </c>
      <c r="H34" s="244">
        <f>IFERROR(VLOOKUP(H$18,'Apoio - Posto'!$A:$AA,15,FALSE),"")</f>
        <v>0.3</v>
      </c>
      <c r="I34" s="244" t="str">
        <f>IFERROR(VLOOKUP(I$18,'Apoio - Posto'!$A:$AA,15,FALSE),"")</f>
        <v/>
      </c>
    </row>
    <row r="35" spans="1:9">
      <c r="A35" s="81"/>
      <c r="B35" s="905"/>
      <c r="C35" s="227"/>
      <c r="D35" s="89" t="s">
        <v>43</v>
      </c>
      <c r="E35" s="96">
        <f>IFERROR((E32)*E34,"")</f>
        <v>0</v>
      </c>
      <c r="F35" s="96">
        <f t="shared" ref="F35:H35" si="0">IFERROR((F32)*F34,"")</f>
        <v>0</v>
      </c>
      <c r="G35" s="96">
        <f t="shared" si="0"/>
        <v>587.23799999999994</v>
      </c>
      <c r="H35" s="96">
        <f t="shared" si="0"/>
        <v>587.23799999999994</v>
      </c>
      <c r="I35" s="96" t="str">
        <f>IFERROR(ROUND((I32)*I34,2),"")</f>
        <v/>
      </c>
    </row>
    <row r="36" spans="1:9">
      <c r="A36" s="81"/>
      <c r="B36" s="895" t="s">
        <v>0</v>
      </c>
      <c r="C36" s="223" t="s">
        <v>237</v>
      </c>
      <c r="D36" s="224"/>
      <c r="E36" s="234"/>
      <c r="F36" s="234"/>
      <c r="G36" s="234"/>
      <c r="H36" s="234"/>
      <c r="I36" s="234"/>
    </row>
    <row r="37" spans="1:9">
      <c r="A37" s="81"/>
      <c r="B37" s="895"/>
      <c r="C37" s="97" t="s">
        <v>92</v>
      </c>
      <c r="D37" s="87"/>
      <c r="E37" s="245" t="str">
        <f>IFERROR(VLOOKUP(E$18,'Apoio - Posto'!$A:$AA,14,FALSE),"")</f>
        <v>Salário Base</v>
      </c>
      <c r="F37" s="245" t="str">
        <f>IFERROR(VLOOKUP(F$18,'Apoio - Posto'!$A:$AA,14,FALSE),"")</f>
        <v>Salário Base</v>
      </c>
      <c r="G37" s="245" t="str">
        <f>IFERROR(VLOOKUP(G$18,'Apoio - Posto'!$A:$AA,14,FALSE),"")</f>
        <v>Salário Base</v>
      </c>
      <c r="H37" s="245" t="str">
        <f>IFERROR(VLOOKUP(H$18,'Apoio - Posto'!$A:$AA,14,FALSE),"")</f>
        <v>Salário Base</v>
      </c>
      <c r="I37" s="245" t="str">
        <f>IFERROR(VLOOKUP(I$18,'Apoio - Posto'!$A:$AA,14,FALSE),"")</f>
        <v/>
      </c>
    </row>
    <row r="38" spans="1:9">
      <c r="A38" s="81"/>
      <c r="B38" s="895"/>
      <c r="C38" s="98" t="s">
        <v>93</v>
      </c>
      <c r="D38" s="88"/>
      <c r="E38" s="246">
        <v>0.4</v>
      </c>
      <c r="F38" s="246">
        <v>0.2</v>
      </c>
      <c r="G38" s="246"/>
      <c r="H38" s="246"/>
      <c r="I38" s="246" t="str">
        <f>IFERROR(VLOOKUP(I$18,'Apoio - Posto'!$A:$AA,13,FALSE),"")</f>
        <v/>
      </c>
    </row>
    <row r="39" spans="1:9">
      <c r="A39" s="81"/>
      <c r="B39" s="896"/>
      <c r="C39" s="92"/>
      <c r="D39" s="89" t="s">
        <v>43</v>
      </c>
      <c r="E39" s="96">
        <f>IF(E20="","",IFERROR(IF(E37="Salário Base",E$32,IF(E37="Salário Mínimo",$D$15,0))*E38,""))</f>
        <v>616.20400000000006</v>
      </c>
      <c r="F39" s="96">
        <f t="shared" ref="F39:H39" si="1">IF(F20="","",IFERROR(IF(F37="Salário Base",F$32,IF(F37="Salário Mínimo",$D$15,0))*F38,""))</f>
        <v>308.10200000000003</v>
      </c>
      <c r="G39" s="96">
        <f t="shared" si="1"/>
        <v>0</v>
      </c>
      <c r="H39" s="96">
        <f t="shared" si="1"/>
        <v>0</v>
      </c>
      <c r="I39" s="96" t="str">
        <f>IF(I20="","",IFERROR(ROUND(IF(I37="Salário Base",I$32,IF(I37="Salário Mínimo",$D$15,0))*I38,2),""))</f>
        <v/>
      </c>
    </row>
    <row r="40" spans="1:9">
      <c r="A40" s="230"/>
      <c r="B40" s="903" t="s">
        <v>3</v>
      </c>
      <c r="C40" s="225" t="s">
        <v>83</v>
      </c>
      <c r="D40" s="137"/>
      <c r="E40" s="235"/>
      <c r="F40" s="235"/>
      <c r="G40" s="235"/>
      <c r="H40" s="235"/>
      <c r="I40" s="235"/>
    </row>
    <row r="41" spans="1:9">
      <c r="A41" s="230"/>
      <c r="B41" s="904"/>
      <c r="C41" s="231" t="s">
        <v>93</v>
      </c>
      <c r="D41" s="138"/>
      <c r="E41" s="232"/>
      <c r="F41" s="232">
        <v>0.2</v>
      </c>
      <c r="G41" s="232"/>
      <c r="H41" s="232">
        <v>0.2</v>
      </c>
      <c r="I41" s="232"/>
    </row>
    <row r="42" spans="1:9">
      <c r="A42" s="230"/>
      <c r="B42" s="905"/>
      <c r="C42" s="92"/>
      <c r="D42" s="89" t="s">
        <v>43</v>
      </c>
      <c r="E42" s="96">
        <f>IFERROR(E41*E$32,"")</f>
        <v>0</v>
      </c>
      <c r="F42" s="96">
        <f t="shared" ref="F42:H42" si="2">IFERROR(F41*F$32,"")</f>
        <v>308.10200000000003</v>
      </c>
      <c r="G42" s="96">
        <f t="shared" si="2"/>
        <v>0</v>
      </c>
      <c r="H42" s="96">
        <f t="shared" si="2"/>
        <v>391.49200000000002</v>
      </c>
      <c r="I42" s="96" t="str">
        <f>IFERROR(ROUND(I41*I$32,2),"")</f>
        <v/>
      </c>
    </row>
    <row r="43" spans="1:9">
      <c r="A43" s="81"/>
      <c r="B43" s="895" t="s">
        <v>7</v>
      </c>
      <c r="C43" s="229" t="s">
        <v>62</v>
      </c>
      <c r="D43" s="228"/>
      <c r="E43" s="236"/>
      <c r="F43" s="236"/>
      <c r="G43" s="236"/>
      <c r="H43" s="236"/>
      <c r="I43" s="236"/>
    </row>
    <row r="44" spans="1:9">
      <c r="A44" s="81"/>
      <c r="B44" s="895"/>
      <c r="C44" s="97" t="s">
        <v>87</v>
      </c>
      <c r="D44" s="135"/>
      <c r="E44" s="141" t="str">
        <f>IF(AND(E19=5173,E26="12x36 Noturno"),8,"")</f>
        <v/>
      </c>
      <c r="F44" s="141" t="str">
        <f t="shared" ref="F44:H44" si="3">IF(AND(F19=5173,F26="12x36 Noturno"),8,"")</f>
        <v/>
      </c>
      <c r="G44" s="141" t="str">
        <f t="shared" si="3"/>
        <v/>
      </c>
      <c r="H44" s="141" t="str">
        <f t="shared" si="3"/>
        <v/>
      </c>
      <c r="I44" s="141" t="str">
        <f>IF(AND(I19=5173,I26="12x36 Noturno"),8,"")</f>
        <v/>
      </c>
    </row>
    <row r="45" spans="1:9">
      <c r="A45" s="81"/>
      <c r="B45" s="895"/>
      <c r="C45" s="98" t="s">
        <v>169</v>
      </c>
      <c r="D45" s="136"/>
      <c r="E45" s="142" t="str">
        <f>IF(E44="","",VLOOKUP(E26,'Apoio - Regime de Trabalho'!$A:$I,7,FALSE))</f>
        <v/>
      </c>
      <c r="F45" s="142" t="str">
        <f>IF(F44="","",VLOOKUP(F26,'Apoio - Regime de Trabalho'!$A:$I,7,FALSE))</f>
        <v/>
      </c>
      <c r="G45" s="142" t="str">
        <f>IF(G44="","",VLOOKUP(G26,'Apoio - Regime de Trabalho'!$A:$I,7,FALSE))</f>
        <v/>
      </c>
      <c r="H45" s="142" t="str">
        <f>IF(H44="","",VLOOKUP(H26,'Apoio - Regime de Trabalho'!$A:$I,7,FALSE))</f>
        <v/>
      </c>
      <c r="I45" s="142" t="str">
        <f>IF(I44="","",VLOOKUP(I26,'Apoio - Regime de Trabalho'!$A:$I,7,FALSE))</f>
        <v/>
      </c>
    </row>
    <row r="46" spans="1:9">
      <c r="A46" s="81"/>
      <c r="B46" s="896"/>
      <c r="C46" s="83"/>
      <c r="D46" s="89" t="s">
        <v>43</v>
      </c>
      <c r="E46" s="143" t="str">
        <f>IFERROR(SUM(E$32,E$35,E$39)/(VLOOKUP(E$26,'Apoio - Regime de Trabalho'!$A:$I,8,FALSE))*20%*E$44*E$45,"")</f>
        <v/>
      </c>
      <c r="F46" s="143" t="str">
        <f>IFERROR(SUM(F$32,F$35,F$39)/(VLOOKUP(F$26,'Apoio - Regime de Trabalho'!$A:$I,8,FALSE))*20%*F$44*F$45,"")</f>
        <v/>
      </c>
      <c r="G46" s="143" t="str">
        <f>IFERROR(SUM(G$32,G$35,G$39)/(VLOOKUP(G$26,'Apoio - Regime de Trabalho'!$A:$I,8,FALSE))*20%*G$44*G$45,"")</f>
        <v/>
      </c>
      <c r="H46" s="143" t="str">
        <f>IFERROR(SUM(H$32,H$35,H$39)/(VLOOKUP(H$26,'Apoio - Regime de Trabalho'!$A:$I,8,FALSE))*20%*H$44*H$45,"")</f>
        <v/>
      </c>
      <c r="I46" s="143" t="str">
        <f>IFERROR(ROUND(SUM(I$32,I$35,I$39)/(VLOOKUP(I$26,'Apoio - Regime de Trabalho'!$A:$I,8,FALSE))*20%*I$44*I$45,2),"")</f>
        <v/>
      </c>
    </row>
    <row r="47" spans="1:9">
      <c r="A47" s="81"/>
      <c r="B47" s="906" t="s">
        <v>6</v>
      </c>
      <c r="C47" s="131" t="s">
        <v>167</v>
      </c>
      <c r="D47" s="137"/>
      <c r="E47" s="237"/>
      <c r="F47" s="237"/>
      <c r="G47" s="237"/>
      <c r="H47" s="237"/>
      <c r="I47" s="237"/>
    </row>
    <row r="48" spans="1:9">
      <c r="A48" s="126"/>
      <c r="B48" s="907"/>
      <c r="C48" s="132" t="s">
        <v>19</v>
      </c>
      <c r="D48" s="138"/>
      <c r="E48" s="145" t="str">
        <f>IF(E44="","",E45*E44*('Apoio - Notas Explicativas'!$D$9/'Apoio - Notas Explicativas'!$D$10-1)
*IF(AND(E19=5173,E26="12x36 Noturno"),0,1))</f>
        <v/>
      </c>
      <c r="F48" s="145" t="str">
        <f>IF(F44="","",F45*F44*('Apoio - Notas Explicativas'!$D$9/'Apoio - Notas Explicativas'!$D$10-1)
*IF(AND(F19=5173,F26="12x36 Noturno"),0,1))</f>
        <v/>
      </c>
      <c r="G48" s="145" t="str">
        <f>IF(G44="","",G45*G44*('Apoio - Notas Explicativas'!$D$9/'Apoio - Notas Explicativas'!$D$10-1)
*IF(AND(G19=5173,G26="12x36 Noturno"),0,1))</f>
        <v/>
      </c>
      <c r="H48" s="145" t="str">
        <f>IF(H44="","",H45*H44*('Apoio - Notas Explicativas'!$D$9/'Apoio - Notas Explicativas'!$D$10-1)
*IF(AND(H19=5173,H26="12x36 Noturno"),0,1))</f>
        <v/>
      </c>
      <c r="I48" s="145" t="str">
        <f>IF(I44="","",I45*I44*('Apoio - Notas Explicativas'!$D$9/'Apoio - Notas Explicativas'!$D$10-1)
*IF(AND(I19=5173,I26="12x36 Noturno"),0,1))</f>
        <v/>
      </c>
    </row>
    <row r="49" spans="1:53">
      <c r="A49" s="126"/>
      <c r="B49" s="908"/>
      <c r="C49" s="95"/>
      <c r="D49" s="89" t="s">
        <v>43</v>
      </c>
      <c r="E49" s="96" t="str">
        <f>IFERROR(E48*(SUM(E$32,E$35,E$39)/(VLOOKUP(E$26,'Apoio - Regime de Trabalho'!$A:$I,8,FALSE))*120%),"")</f>
        <v/>
      </c>
      <c r="F49" s="96" t="str">
        <f>IFERROR(F48*(SUM(F$32,F$35,F$39)/(VLOOKUP(F$26,'Apoio - Regime de Trabalho'!$A:$I,8,FALSE))*120%),"")</f>
        <v/>
      </c>
      <c r="G49" s="96" t="str">
        <f>IFERROR(G48*(SUM(G$32,G$35,G$39)/(VLOOKUP(G$26,'Apoio - Regime de Trabalho'!$A:$I,8,FALSE))*120%),"")</f>
        <v/>
      </c>
      <c r="H49" s="96" t="str">
        <f>IFERROR(H48*(SUM(H$32,H$35,H$39)/(VLOOKUP(H$26,'Apoio - Regime de Trabalho'!$A:$I,8,FALSE))*120%),"")</f>
        <v/>
      </c>
      <c r="I49" s="96" t="str">
        <f>IFERROR(ROUND(I48*(SUM(I$32+I$35+I$39)/(VLOOKUP(I$26,'Apoio - Regime de Trabalho'!$A:$I,8,FALSE))*120%),2),"")</f>
        <v/>
      </c>
    </row>
    <row r="50" spans="1:53">
      <c r="A50" s="126"/>
      <c r="B50" s="894" t="s">
        <v>5</v>
      </c>
      <c r="C50" s="156" t="s">
        <v>181</v>
      </c>
      <c r="D50" s="137"/>
      <c r="E50" s="235"/>
      <c r="F50" s="235"/>
      <c r="G50" s="235"/>
      <c r="H50" s="235"/>
      <c r="I50" s="235"/>
    </row>
    <row r="51" spans="1:53">
      <c r="A51" s="81"/>
      <c r="B51" s="895"/>
      <c r="C51" s="97" t="s">
        <v>93</v>
      </c>
      <c r="D51" s="154"/>
      <c r="E51" s="155" t="str">
        <f>IF(E$26="56h (7 dias)",100%,
IF(OR(E19=7823,E19=7825),50%,""))</f>
        <v/>
      </c>
      <c r="F51" s="155" t="str">
        <f t="shared" ref="F51:H51" si="4">IF(F$26="56h (7 dias)",100%,
IF(OR(F19=7823,F19=7825),50%,""))</f>
        <v/>
      </c>
      <c r="G51" s="155" t="str">
        <f t="shared" si="4"/>
        <v/>
      </c>
      <c r="H51" s="155" t="str">
        <f t="shared" si="4"/>
        <v/>
      </c>
      <c r="I51" s="155"/>
    </row>
    <row r="52" spans="1:53">
      <c r="A52" s="81"/>
      <c r="B52" s="895"/>
      <c r="C52" s="98" t="s">
        <v>20</v>
      </c>
      <c r="D52" s="139"/>
      <c r="E52" s="146" t="str">
        <f>IF(OR(E$26="56h (7 dias)",E19=7823,E19=7825),8,"")</f>
        <v/>
      </c>
      <c r="F52" s="146" t="str">
        <f t="shared" ref="F52:H52" si="5">IF(OR(F$26="56h (7 dias)",F19=7823,F19=7825),8,"")</f>
        <v/>
      </c>
      <c r="G52" s="146" t="str">
        <f t="shared" si="5"/>
        <v/>
      </c>
      <c r="H52" s="146" t="str">
        <f t="shared" si="5"/>
        <v/>
      </c>
      <c r="I52" s="146"/>
    </row>
    <row r="53" spans="1:53">
      <c r="A53" s="81"/>
      <c r="B53" s="896"/>
      <c r="C53" s="83"/>
      <c r="D53" s="89" t="s">
        <v>43</v>
      </c>
      <c r="E53" s="91" t="str">
        <f>IFERROR(SUM(E$32,E$35,E$39,E$46)/(VLOOKUP(E$26,'Apoio - Regime de Trabalho'!$A:$I,8,FALSE))*(1+E$51)*E$52,"")</f>
        <v/>
      </c>
      <c r="F53" s="91" t="str">
        <f>IFERROR(SUM(F$32,F$35,F$39,F$46)/(VLOOKUP(F$26,'Apoio - Regime de Trabalho'!$A:$I,8,FALSE))*(1+F$51)*F$52,"")</f>
        <v/>
      </c>
      <c r="G53" s="91" t="str">
        <f>IFERROR(SUM(G$32,G$35,G$39,G$46)/(VLOOKUP(G$26,'Apoio - Regime de Trabalho'!$A:$I,8,FALSE))*(1+G$51)*G$52,"")</f>
        <v/>
      </c>
      <c r="H53" s="91" t="str">
        <f>IFERROR(SUM(H$32,H$35,H$39,H$46)/(VLOOKUP(H$26,'Apoio - Regime de Trabalho'!$A:$I,8,FALSE))*(1+H$51)*H$52,"")</f>
        <v/>
      </c>
      <c r="I53" s="91" t="str">
        <f>IFERROR(ROUND(SUM(I$32,I$35,I$39,I$46)/(VLOOKUP(I$26,'Apoio - Regime de Trabalho'!$A:$I,8,FALSE))*(1+I$51)*I$52,2),"")</f>
        <v/>
      </c>
    </row>
    <row r="54" spans="1:53">
      <c r="A54" s="81"/>
      <c r="B54" s="906" t="s">
        <v>4</v>
      </c>
      <c r="C54" s="131" t="s">
        <v>84</v>
      </c>
      <c r="D54" s="137"/>
      <c r="E54" s="238"/>
      <c r="F54" s="238"/>
      <c r="G54" s="238"/>
      <c r="H54" s="238"/>
      <c r="I54" s="238"/>
    </row>
    <row r="55" spans="1:53">
      <c r="A55" s="81"/>
      <c r="B55" s="907"/>
      <c r="C55" s="132" t="s">
        <v>86</v>
      </c>
      <c r="D55" s="138"/>
      <c r="E55" s="420">
        <f>IF(E18="","",IFERROR(SUM(E$46,E49)*20%,""))</f>
        <v>0</v>
      </c>
      <c r="F55" s="420">
        <f t="shared" ref="F55:H55" si="6">IF(F18="","",IFERROR(SUM(F$46,F49)*20%,""))</f>
        <v>0</v>
      </c>
      <c r="G55" s="420">
        <f t="shared" si="6"/>
        <v>0</v>
      </c>
      <c r="H55" s="420">
        <f t="shared" si="6"/>
        <v>0</v>
      </c>
      <c r="I55" s="157" t="str">
        <f>IF(I18="","",IFERROR(ROUND(SUM(I$46,I49)*20%,2),""))</f>
        <v/>
      </c>
    </row>
    <row r="56" spans="1:53">
      <c r="A56" s="81"/>
      <c r="B56" s="907"/>
      <c r="C56" s="158" t="s">
        <v>85</v>
      </c>
      <c r="D56" s="140" t="s">
        <v>411</v>
      </c>
      <c r="E56" s="421" t="str">
        <f>IFERROR(IF(E18="","",IF(D56="Não",0,E53*20%)),"")</f>
        <v/>
      </c>
      <c r="F56" s="421" t="str">
        <f t="shared" ref="F56:H56" si="7">IFERROR(IF(F18="","",IF(E56="Não",0,F53*20%)),"")</f>
        <v/>
      </c>
      <c r="G56" s="421" t="str">
        <f t="shared" si="7"/>
        <v/>
      </c>
      <c r="H56" s="421" t="str">
        <f t="shared" si="7"/>
        <v/>
      </c>
      <c r="I56" s="147" t="str">
        <f>IFERROR(IF(I18="","",IF(H56="Não",0,ROUND(I53*20%,2))),"")</f>
        <v/>
      </c>
    </row>
    <row r="57" spans="1:53">
      <c r="A57" s="81"/>
      <c r="B57" s="907"/>
      <c r="C57" s="158" t="s">
        <v>166</v>
      </c>
      <c r="D57" s="140"/>
      <c r="E57" s="421">
        <f>IF(E20="","",IFERROR(E$59*20%,""))</f>
        <v>0</v>
      </c>
      <c r="F57" s="421">
        <f t="shared" ref="F57:H57" si="8">IF(F20="","",IFERROR(F$59*20%,""))</f>
        <v>0</v>
      </c>
      <c r="G57" s="421">
        <f t="shared" si="8"/>
        <v>0</v>
      </c>
      <c r="H57" s="421">
        <f t="shared" si="8"/>
        <v>0</v>
      </c>
      <c r="I57" s="378" t="str">
        <f>IF(I20="","",IFERROR(ROUND(I$59*20%,2),""))</f>
        <v/>
      </c>
    </row>
    <row r="58" spans="1:53">
      <c r="A58" s="81"/>
      <c r="B58" s="908"/>
      <c r="C58" s="95"/>
      <c r="D58" s="89" t="s">
        <v>43</v>
      </c>
      <c r="E58" s="204" t="str">
        <f>IF(SUM(E55:E57)=0,"",SUM(E55:E57))</f>
        <v/>
      </c>
      <c r="F58" s="204" t="str">
        <f t="shared" ref="F58:H58" si="9">IF(SUM(F55:F57)=0,"",SUM(F55:F57))</f>
        <v/>
      </c>
      <c r="G58" s="204" t="str">
        <f t="shared" si="9"/>
        <v/>
      </c>
      <c r="H58" s="204" t="str">
        <f t="shared" si="9"/>
        <v/>
      </c>
      <c r="I58" s="96" t="str">
        <f>IF(SUM(I55:I57)=0,"",SUM(I55:I57))</f>
        <v/>
      </c>
    </row>
    <row r="59" spans="1:53">
      <c r="A59" s="81"/>
      <c r="B59" s="127" t="s">
        <v>141</v>
      </c>
      <c r="C59" s="128" t="s">
        <v>165</v>
      </c>
      <c r="D59" s="93"/>
      <c r="E59" s="258">
        <f>IFERROR(IFERROR(VLOOKUP(E$18,'Apoio - Posto'!$A:$AA,12,FALSE),"")*VLOOKUP(E26,'Apoio - Regime de Trabalho'!$A:$I,7,FALSE),"")</f>
        <v>0</v>
      </c>
      <c r="F59" s="258">
        <f>IFERROR(IFERROR(VLOOKUP(F$18,'Apoio - Posto'!$A:$AA,12,FALSE),"")*VLOOKUP(F26,'Apoio - Regime de Trabalho'!$A:$I,7,FALSE),"")</f>
        <v>0</v>
      </c>
      <c r="G59" s="258">
        <f>IFERROR(IFERROR(VLOOKUP(G$18,'Apoio - Posto'!$A:$AA,12,FALSE),"")*VLOOKUP(G26,'Apoio - Regime de Trabalho'!$A:$I,7,FALSE),"")</f>
        <v>0</v>
      </c>
      <c r="H59" s="258">
        <f>IFERROR(IFERROR(VLOOKUP(H$18,'Apoio - Posto'!$A:$AA,12,FALSE),"")*VLOOKUP(H26,'Apoio - Regime de Trabalho'!$A:$I,7,FALSE),"")</f>
        <v>0</v>
      </c>
      <c r="I59" s="258" t="str">
        <f>IFERROR(IFERROR(VLOOKUP(I$18,'Apoio - Posto'!$A:$AA,12,FALSE),"")*VLOOKUP(I26,'Apoio - Regime de Trabalho'!$A:$I,7,FALSE),"")</f>
        <v/>
      </c>
    </row>
    <row r="60" spans="1:53">
      <c r="A60" s="129"/>
      <c r="B60" s="130" t="s">
        <v>168</v>
      </c>
      <c r="C60" s="441" t="s">
        <v>222</v>
      </c>
      <c r="D60" s="442"/>
      <c r="E60" s="148"/>
      <c r="F60" s="148"/>
      <c r="G60" s="148"/>
      <c r="H60" s="148"/>
      <c r="I60" s="148"/>
    </row>
    <row r="61" spans="1:53" s="5" customFormat="1">
      <c r="A61" s="68"/>
      <c r="B61" s="153"/>
      <c r="C61" s="85" t="s">
        <v>391</v>
      </c>
      <c r="D61" s="149"/>
      <c r="E61" s="151">
        <f>IF(E20="","",SUM(E32,E35,E39,E42,E46,E49,E53,E58,E59,E60))</f>
        <v>2156.7139999999999</v>
      </c>
      <c r="F61" s="152">
        <f t="shared" ref="F61:H61" si="10">IF(F20="","",SUM(F32,F35,F39,F42,F46,F49,F53,F58,F59,F60))</f>
        <v>2156.7139999999999</v>
      </c>
      <c r="G61" s="152">
        <f t="shared" si="10"/>
        <v>2544.6979999999999</v>
      </c>
      <c r="H61" s="150">
        <f t="shared" si="10"/>
        <v>2936.19</v>
      </c>
      <c r="I61" s="152" t="str">
        <f>IF(I20="","",SUM(I32,I35,I39,I42,I46,I49,I53,I58,I59,I60))</f>
        <v/>
      </c>
      <c r="J61" s="456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</row>
    <row r="62" spans="1:53" s="17" customFormat="1">
      <c r="A62" s="20"/>
      <c r="D62" s="14"/>
      <c r="E62" s="21"/>
      <c r="F62" s="21"/>
      <c r="G62" s="21"/>
      <c r="H62" s="21"/>
      <c r="I62" s="21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</row>
    <row r="63" spans="1:53" s="6" customFormat="1">
      <c r="A63" s="69"/>
      <c r="B63" s="84"/>
      <c r="C63" s="85" t="s">
        <v>152</v>
      </c>
      <c r="D63" s="86"/>
      <c r="E63" s="368"/>
      <c r="F63" s="368"/>
      <c r="G63" s="368"/>
      <c r="H63" s="368"/>
      <c r="I63" s="368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</row>
    <row r="64" spans="1:53" customFormat="1" ht="3.75" customHeight="1"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</row>
    <row r="65" spans="1:53" s="6" customFormat="1">
      <c r="A65" s="70"/>
      <c r="B65" s="167"/>
      <c r="C65" s="168" t="s">
        <v>153</v>
      </c>
      <c r="D65" s="169"/>
      <c r="E65" s="172"/>
      <c r="F65" s="172"/>
      <c r="G65" s="172"/>
      <c r="H65" s="170"/>
      <c r="I65" s="172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</row>
    <row r="66" spans="1:53">
      <c r="A66" s="69"/>
      <c r="B66" s="82" t="s">
        <v>2</v>
      </c>
      <c r="C66" s="83" t="s">
        <v>58</v>
      </c>
      <c r="D66" s="173">
        <f>IFERROR(INDEX('Apoio - Notas Explicativas'!Q:Q,MATCH(C66,'Apoio - Notas Explicativas'!C:C,0)),"")</f>
        <v>8.3299999999999999E-2</v>
      </c>
      <c r="E66" s="94">
        <f>IFERROR($D66*E$61,"")</f>
        <v>179.6542762</v>
      </c>
      <c r="F66" s="94">
        <f t="shared" ref="F66:H68" si="11">IFERROR($D66*F$61,"")</f>
        <v>179.6542762</v>
      </c>
      <c r="G66" s="94">
        <f t="shared" si="11"/>
        <v>211.97334339999998</v>
      </c>
      <c r="H66" s="94">
        <f t="shared" si="11"/>
        <v>244.58462700000001</v>
      </c>
      <c r="I66" s="133" t="str">
        <f t="shared" ref="I66:I68" si="12">IFERROR(ROUND($D66*I$61,2),"")</f>
        <v/>
      </c>
    </row>
    <row r="67" spans="1:53">
      <c r="A67" s="69"/>
      <c r="B67" s="82" t="s">
        <v>1</v>
      </c>
      <c r="C67" s="83" t="s">
        <v>21</v>
      </c>
      <c r="D67" s="173">
        <f>IFERROR(INDEX('Apoio - Notas Explicativas'!Q:Q,MATCH(C67,'Apoio - Notas Explicativas'!C:C,0)),"")</f>
        <v>0.1111</v>
      </c>
      <c r="E67" s="94">
        <f>IFERROR($D67*E$61,"")</f>
        <v>239.61092540000001</v>
      </c>
      <c r="F67" s="94">
        <f t="shared" si="11"/>
        <v>239.61092540000001</v>
      </c>
      <c r="G67" s="94">
        <f t="shared" si="11"/>
        <v>282.71594779999998</v>
      </c>
      <c r="H67" s="94">
        <f t="shared" si="11"/>
        <v>326.21070900000001</v>
      </c>
      <c r="I67" s="133" t="str">
        <f t="shared" si="12"/>
        <v/>
      </c>
    </row>
    <row r="68" spans="1:53">
      <c r="A68" s="69"/>
      <c r="B68" s="82" t="s">
        <v>0</v>
      </c>
      <c r="C68" s="383" t="s">
        <v>82</v>
      </c>
      <c r="D68" s="173">
        <f>IFERROR(INDEX('Apoio - Notas Explicativas'!Q:Q,MATCH(C68,'Apoio - Notas Explicativas'!C:C,0)),"")</f>
        <v>7.1599999999999997E-2</v>
      </c>
      <c r="E68" s="94">
        <f>IFERROR($D68*E$61,"")</f>
        <v>154.42072239999999</v>
      </c>
      <c r="F68" s="94">
        <f t="shared" si="11"/>
        <v>154.42072239999999</v>
      </c>
      <c r="G68" s="94">
        <f t="shared" si="11"/>
        <v>182.20037679999999</v>
      </c>
      <c r="H68" s="94">
        <f t="shared" si="11"/>
        <v>210.23120399999999</v>
      </c>
      <c r="I68" s="133" t="str">
        <f t="shared" si="12"/>
        <v/>
      </c>
    </row>
    <row r="69" spans="1:53" s="5" customFormat="1">
      <c r="A69" s="71"/>
      <c r="B69" s="167"/>
      <c r="C69" s="168" t="s">
        <v>147</v>
      </c>
      <c r="D69" s="171"/>
      <c r="E69" s="172">
        <f>IF(SUM(E66:E68)=0,"",SUM(E66:E68))</f>
        <v>573.685924</v>
      </c>
      <c r="F69" s="172">
        <f t="shared" ref="F69:H69" si="13">IF(SUM(F66:F68)=0,"",SUM(F66:F68))</f>
        <v>573.685924</v>
      </c>
      <c r="G69" s="170">
        <f t="shared" si="13"/>
        <v>676.88966799999992</v>
      </c>
      <c r="H69" s="172">
        <f t="shared" si="13"/>
        <v>781.02654000000007</v>
      </c>
      <c r="I69" s="170" t="str">
        <f>IF(SUM(I66:I68)=0,"",SUM(I66:I68))</f>
        <v/>
      </c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</row>
    <row r="70" spans="1:53" customFormat="1" ht="3.75" customHeight="1"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</row>
    <row r="71" spans="1:53" s="6" customFormat="1">
      <c r="A71" s="71"/>
      <c r="B71" s="167"/>
      <c r="C71" s="168" t="s">
        <v>190</v>
      </c>
      <c r="D71" s="169"/>
      <c r="E71" s="172"/>
      <c r="F71" s="170"/>
      <c r="G71" s="170"/>
      <c r="H71" s="172"/>
      <c r="I71" s="17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</row>
    <row r="72" spans="1:53">
      <c r="A72" s="71"/>
      <c r="B72" s="82" t="s">
        <v>2</v>
      </c>
      <c r="C72" s="83" t="s">
        <v>51</v>
      </c>
      <c r="D72" s="173">
        <f>IFERROR(INDEX('Apoio - Notas Explicativas'!Q:Q,MATCH(C72,'Apoio - Notas Explicativas'!C:C,0)),"")</f>
        <v>0.2</v>
      </c>
      <c r="E72" s="94">
        <f t="shared" ref="E72:E77" si="14">IFERROR($D72*E$61,"")</f>
        <v>431.34280000000001</v>
      </c>
      <c r="F72" s="133">
        <f t="shared" ref="F72:H77" si="15">IFERROR($D72*F$61,"")</f>
        <v>431.34280000000001</v>
      </c>
      <c r="G72" s="133">
        <f t="shared" si="15"/>
        <v>508.93959999999998</v>
      </c>
      <c r="H72" s="94">
        <f t="shared" si="15"/>
        <v>587.23800000000006</v>
      </c>
      <c r="I72" s="133" t="str">
        <f t="shared" ref="I72:I77" si="16">IFERROR(ROUND($D72*I$61,2),"")</f>
        <v/>
      </c>
    </row>
    <row r="73" spans="1:53">
      <c r="A73" s="69"/>
      <c r="B73" s="82" t="s">
        <v>1</v>
      </c>
      <c r="C73" s="128" t="s">
        <v>52</v>
      </c>
      <c r="D73" s="173">
        <f>IFERROR(INDEX('Apoio - Notas Explicativas'!Q:Q,MATCH(C73,'Apoio - Notas Explicativas'!C:C,0)),"")</f>
        <v>1.4999999999999999E-2</v>
      </c>
      <c r="E73" s="94">
        <f t="shared" si="14"/>
        <v>32.350709999999999</v>
      </c>
      <c r="F73" s="133">
        <f t="shared" si="15"/>
        <v>32.350709999999999</v>
      </c>
      <c r="G73" s="133">
        <f t="shared" si="15"/>
        <v>38.170469999999995</v>
      </c>
      <c r="H73" s="94">
        <f t="shared" si="15"/>
        <v>44.042850000000001</v>
      </c>
      <c r="I73" s="133" t="str">
        <f t="shared" si="16"/>
        <v/>
      </c>
    </row>
    <row r="74" spans="1:53">
      <c r="A74" s="69"/>
      <c r="B74" s="82" t="s">
        <v>0</v>
      </c>
      <c r="C74" s="83" t="s">
        <v>53</v>
      </c>
      <c r="D74" s="173">
        <f>IFERROR(INDEX('Apoio - Notas Explicativas'!Q:Q,MATCH(C74,'Apoio - Notas Explicativas'!C:C,0)),"")</f>
        <v>0.01</v>
      </c>
      <c r="E74" s="94">
        <f t="shared" si="14"/>
        <v>21.567139999999998</v>
      </c>
      <c r="F74" s="133">
        <f t="shared" si="15"/>
        <v>21.567139999999998</v>
      </c>
      <c r="G74" s="133">
        <f t="shared" si="15"/>
        <v>25.44698</v>
      </c>
      <c r="H74" s="94">
        <f t="shared" si="15"/>
        <v>29.361900000000002</v>
      </c>
      <c r="I74" s="133" t="str">
        <f t="shared" si="16"/>
        <v/>
      </c>
    </row>
    <row r="75" spans="1:53">
      <c r="A75" s="69"/>
      <c r="B75" s="82" t="s">
        <v>3</v>
      </c>
      <c r="C75" s="83" t="s">
        <v>54</v>
      </c>
      <c r="D75" s="173">
        <f>IFERROR(INDEX('Apoio - Notas Explicativas'!Q:Q,MATCH(C75,'Apoio - Notas Explicativas'!C:C,0)),"")</f>
        <v>2E-3</v>
      </c>
      <c r="E75" s="94">
        <f t="shared" si="14"/>
        <v>4.313428</v>
      </c>
      <c r="F75" s="133">
        <f t="shared" si="15"/>
        <v>4.313428</v>
      </c>
      <c r="G75" s="133">
        <f t="shared" si="15"/>
        <v>5.0893959999999998</v>
      </c>
      <c r="H75" s="94">
        <f t="shared" si="15"/>
        <v>5.8723800000000006</v>
      </c>
      <c r="I75" s="133" t="str">
        <f t="shared" si="16"/>
        <v/>
      </c>
    </row>
    <row r="76" spans="1:53">
      <c r="A76" s="69"/>
      <c r="B76" s="82" t="s">
        <v>7</v>
      </c>
      <c r="C76" s="83" t="s">
        <v>55</v>
      </c>
      <c r="D76" s="173">
        <f>IFERROR(INDEX('Apoio - Notas Explicativas'!Q:Q,MATCH(C76,'Apoio - Notas Explicativas'!C:C,0)),"")</f>
        <v>2.5000000000000001E-2</v>
      </c>
      <c r="E76" s="94">
        <f t="shared" si="14"/>
        <v>53.917850000000001</v>
      </c>
      <c r="F76" s="133">
        <f t="shared" si="15"/>
        <v>53.917850000000001</v>
      </c>
      <c r="G76" s="133">
        <f t="shared" si="15"/>
        <v>63.617449999999998</v>
      </c>
      <c r="H76" s="94">
        <f t="shared" si="15"/>
        <v>73.404750000000007</v>
      </c>
      <c r="I76" s="133" t="str">
        <f t="shared" si="16"/>
        <v/>
      </c>
    </row>
    <row r="77" spans="1:53">
      <c r="A77" s="69"/>
      <c r="B77" s="82" t="s">
        <v>6</v>
      </c>
      <c r="C77" s="83" t="s">
        <v>56</v>
      </c>
      <c r="D77" s="173">
        <f>IFERROR(INDEX('Apoio - Notas Explicativas'!Q:Q,MATCH(C77,'Apoio - Notas Explicativas'!C:C,0)),"")</f>
        <v>0.08</v>
      </c>
      <c r="E77" s="94">
        <f t="shared" si="14"/>
        <v>172.53711999999999</v>
      </c>
      <c r="F77" s="133">
        <f t="shared" si="15"/>
        <v>172.53711999999999</v>
      </c>
      <c r="G77" s="133">
        <f t="shared" si="15"/>
        <v>203.57584</v>
      </c>
      <c r="H77" s="94">
        <f t="shared" si="15"/>
        <v>234.89520000000002</v>
      </c>
      <c r="I77" s="133" t="str">
        <f t="shared" si="16"/>
        <v/>
      </c>
    </row>
    <row r="78" spans="1:53">
      <c r="A78" s="69"/>
      <c r="B78" s="909" t="s">
        <v>5</v>
      </c>
      <c r="C78" s="159" t="str">
        <f>CONCATENATE("GILL/RAT (RAT ",D79," x FAP ",D80,")")</f>
        <v>GILL/RAT (RAT 0,03 x FAP 1)</v>
      </c>
      <c r="D78" s="166"/>
      <c r="E78" s="237"/>
      <c r="F78" s="422"/>
      <c r="G78" s="422"/>
      <c r="H78" s="237"/>
      <c r="I78" s="134"/>
    </row>
    <row r="79" spans="1:53">
      <c r="A79" s="69"/>
      <c r="B79" s="910"/>
      <c r="C79" s="160" t="s">
        <v>49</v>
      </c>
      <c r="D79" s="163">
        <f>VLOOKUP(C79,'Apoio - Notas Explicativas'!$C:$Q,14,FALSE)</f>
        <v>0.03</v>
      </c>
      <c r="E79" s="423"/>
      <c r="F79" s="423"/>
      <c r="G79" s="423"/>
      <c r="H79" s="457"/>
      <c r="I79" s="163"/>
    </row>
    <row r="80" spans="1:53">
      <c r="A80" s="69"/>
      <c r="B80" s="912"/>
      <c r="C80" s="219" t="s">
        <v>44</v>
      </c>
      <c r="D80" s="306">
        <f>VLOOKUP(C80,'Apoio - Notas Explicativas'!$C:$Q,14,FALSE)</f>
        <v>1</v>
      </c>
      <c r="E80" s="424"/>
      <c r="F80" s="424"/>
      <c r="G80" s="424"/>
      <c r="H80" s="424"/>
      <c r="I80" s="164"/>
    </row>
    <row r="81" spans="1:53">
      <c r="A81" s="69"/>
      <c r="B81" s="911"/>
      <c r="C81" s="83"/>
      <c r="D81" s="259">
        <f>D80*D79</f>
        <v>0.03</v>
      </c>
      <c r="E81" s="165">
        <f>IFERROR($D81*E$61,"")</f>
        <v>64.701419999999999</v>
      </c>
      <c r="F81" s="165">
        <f t="shared" ref="F81:H82" si="17">IFERROR($D81*F$61,"")</f>
        <v>64.701419999999999</v>
      </c>
      <c r="G81" s="165">
        <f t="shared" si="17"/>
        <v>76.340939999999989</v>
      </c>
      <c r="H81" s="165">
        <f t="shared" si="17"/>
        <v>88.085700000000003</v>
      </c>
      <c r="I81" s="165" t="str">
        <f t="shared" ref="I81:I82" si="18">IFERROR(ROUND($D81*I$61,2),"")</f>
        <v/>
      </c>
    </row>
    <row r="82" spans="1:53">
      <c r="A82" s="71"/>
      <c r="B82" s="82" t="s">
        <v>4</v>
      </c>
      <c r="C82" s="83" t="s">
        <v>57</v>
      </c>
      <c r="D82" s="173">
        <f>IFERROR(INDEX('Apoio - Notas Explicativas'!Q:Q,MATCH(C82,'Apoio - Notas Explicativas'!C:C,0)),"")</f>
        <v>6.0000000000000001E-3</v>
      </c>
      <c r="E82" s="133">
        <f>IFERROR($D82*E$61,"")</f>
        <v>12.940284</v>
      </c>
      <c r="F82" s="133">
        <f t="shared" si="17"/>
        <v>12.940284</v>
      </c>
      <c r="G82" s="133">
        <f t="shared" si="17"/>
        <v>15.268188</v>
      </c>
      <c r="H82" s="133">
        <f t="shared" si="17"/>
        <v>17.617139999999999</v>
      </c>
      <c r="I82" s="133" t="str">
        <f t="shared" si="18"/>
        <v/>
      </c>
    </row>
    <row r="83" spans="1:53" s="5" customFormat="1">
      <c r="A83" s="71"/>
      <c r="B83" s="167"/>
      <c r="C83" s="168" t="s">
        <v>146</v>
      </c>
      <c r="D83" s="171"/>
      <c r="E83" s="172">
        <f>IF((SUM(E72:E77,E81,E82))=0,"",(SUM(E72:E77,E81,E82)))</f>
        <v>793.67075199999999</v>
      </c>
      <c r="F83" s="172">
        <f t="shared" ref="F83:H83" si="19">IF((SUM(F72:F77,F81,F82))=0,"",(SUM(F72:F77,F81,F82)))</f>
        <v>793.67075199999999</v>
      </c>
      <c r="G83" s="172">
        <f t="shared" si="19"/>
        <v>936.44886399999996</v>
      </c>
      <c r="H83" s="172">
        <f t="shared" si="19"/>
        <v>1080.5179200000002</v>
      </c>
      <c r="I83" s="172" t="str">
        <f>IF((SUM(I72:I77,I81,I82))=0,"",(SUM(I72:I77,I81,I82)))</f>
        <v/>
      </c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</row>
    <row r="84" spans="1:53" customFormat="1" ht="3.75" customHeight="1"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</row>
    <row r="85" spans="1:53" s="6" customFormat="1">
      <c r="A85" s="71"/>
      <c r="B85" s="178"/>
      <c r="C85" s="179" t="s">
        <v>154</v>
      </c>
      <c r="D85" s="180"/>
      <c r="E85" s="172"/>
      <c r="F85" s="172"/>
      <c r="G85" s="172"/>
      <c r="H85" s="172"/>
      <c r="I85" s="172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</row>
    <row r="86" spans="1:53" s="12" customFormat="1">
      <c r="A86" s="69"/>
      <c r="B86" s="909" t="s">
        <v>2</v>
      </c>
      <c r="C86" s="159" t="s">
        <v>88</v>
      </c>
      <c r="D86" s="191"/>
      <c r="E86" s="239"/>
      <c r="F86" s="239"/>
      <c r="G86" s="239"/>
      <c r="H86" s="239"/>
      <c r="I86" s="239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</row>
    <row r="87" spans="1:53">
      <c r="A87" s="69"/>
      <c r="B87" s="910"/>
      <c r="C87" s="160" t="s">
        <v>89</v>
      </c>
      <c r="D87" s="211"/>
      <c r="E87" s="417">
        <f>IF(E18="","",4.8)</f>
        <v>4.8</v>
      </c>
      <c r="F87" s="417">
        <f t="shared" ref="F87:H87" si="20">IF(F18="","",4.8)</f>
        <v>4.8</v>
      </c>
      <c r="G87" s="417">
        <f t="shared" si="20"/>
        <v>4.8</v>
      </c>
      <c r="H87" s="417">
        <f t="shared" si="20"/>
        <v>4.8</v>
      </c>
      <c r="I87" s="193" t="str">
        <f>IF(I18="","",4.8)</f>
        <v/>
      </c>
    </row>
    <row r="88" spans="1:53">
      <c r="A88" s="69"/>
      <c r="B88" s="910"/>
      <c r="C88" s="98" t="s">
        <v>135</v>
      </c>
      <c r="D88" s="212"/>
      <c r="E88" s="195">
        <f>IF(E18="","",2)</f>
        <v>2</v>
      </c>
      <c r="F88" s="195">
        <f t="shared" ref="F88:H88" si="21">IF(F18="","",2)</f>
        <v>2</v>
      </c>
      <c r="G88" s="195">
        <f t="shared" si="21"/>
        <v>2</v>
      </c>
      <c r="H88" s="195">
        <f t="shared" si="21"/>
        <v>2</v>
      </c>
      <c r="I88" s="195" t="str">
        <f>IF(I18="","",2)</f>
        <v/>
      </c>
    </row>
    <row r="89" spans="1:53">
      <c r="A89" s="69"/>
      <c r="B89" s="910"/>
      <c r="C89" s="98" t="s">
        <v>90</v>
      </c>
      <c r="D89" s="213"/>
      <c r="E89" s="196">
        <f>IFERROR(IF(E18="","",VLOOKUP(E26,'Apoio - Regime de Trabalho'!$A:$G,7,FALSE)),"")</f>
        <v>26</v>
      </c>
      <c r="F89" s="196">
        <f>IFERROR(IF(F18="","",VLOOKUP(F26,'Apoio - Regime de Trabalho'!$A:$G,7,FALSE)),"")</f>
        <v>26</v>
      </c>
      <c r="G89" s="196">
        <f>IFERROR(IF(G18="","",VLOOKUP(G26,'Apoio - Regime de Trabalho'!$A:$G,7,FALSE)),"")</f>
        <v>26</v>
      </c>
      <c r="H89" s="196">
        <f>IFERROR(IF(H18="","",VLOOKUP(H26,'Apoio - Regime de Trabalho'!$A:$G,7,FALSE)),"")</f>
        <v>26</v>
      </c>
      <c r="I89" s="196" t="str">
        <f>IFERROR(IF(I18="","",VLOOKUP(I26,'Apoio - Regime de Trabalho'!$A:$G,7,FALSE)),"")</f>
        <v/>
      </c>
    </row>
    <row r="90" spans="1:53">
      <c r="A90" s="69"/>
      <c r="B90" s="910"/>
      <c r="C90" s="98" t="s">
        <v>22</v>
      </c>
      <c r="D90" s="212"/>
      <c r="E90" s="197">
        <f>IF(E18="","",IFERROR(VLOOKUP(E$18,'Apoio - Posto'!$A:$AA,16,FALSE),6%))</f>
        <v>0.06</v>
      </c>
      <c r="F90" s="197">
        <f>IF(F18="","",IFERROR(VLOOKUP(F$18,'Apoio - Posto'!$A:$AA,16,FALSE),6%))</f>
        <v>0.06</v>
      </c>
      <c r="G90" s="197">
        <f>IF(G18="","",IFERROR(VLOOKUP(G$18,'Apoio - Posto'!$A:$AA,16,FALSE),6%))</f>
        <v>0.06</v>
      </c>
      <c r="H90" s="197">
        <f>IF(H18="","",IFERROR(VLOOKUP(H$18,'Apoio - Posto'!$A:$AA,16,FALSE),6%))</f>
        <v>0.06</v>
      </c>
      <c r="I90" s="197" t="str">
        <f>IFERROR(VLOOKUP(I$18,'Apoio - Posto'!$A:$AA,16,FALSE),"")</f>
        <v/>
      </c>
    </row>
    <row r="91" spans="1:53">
      <c r="A91" s="69"/>
      <c r="B91" s="911"/>
      <c r="C91" s="218"/>
      <c r="D91" s="214" t="s">
        <v>43</v>
      </c>
      <c r="E91" s="143">
        <f>IFERROR((E87*E88*E89)-(E$90*E$32),"")</f>
        <v>157.1694</v>
      </c>
      <c r="F91" s="143">
        <f t="shared" ref="F91:H91" si="22">IFERROR((F87*F88*F89)-(F$90*F$32),"")</f>
        <v>157.1694</v>
      </c>
      <c r="G91" s="143">
        <f t="shared" si="22"/>
        <v>132.1524</v>
      </c>
      <c r="H91" s="143">
        <f t="shared" si="22"/>
        <v>132.1524</v>
      </c>
      <c r="I91" s="143" t="str">
        <f>IFERROR(ROUND((I87*I88*I89)-(I$90*I$32),2),"")</f>
        <v/>
      </c>
    </row>
    <row r="92" spans="1:53">
      <c r="A92" s="69"/>
      <c r="B92" s="909" t="s">
        <v>1</v>
      </c>
      <c r="C92" s="190" t="s">
        <v>23</v>
      </c>
      <c r="D92" s="215"/>
      <c r="E92" s="240"/>
      <c r="F92" s="240"/>
      <c r="G92" s="240"/>
      <c r="H92" s="240"/>
      <c r="I92" s="240"/>
    </row>
    <row r="93" spans="1:53">
      <c r="A93" s="69"/>
      <c r="B93" s="910"/>
      <c r="C93" s="210" t="s">
        <v>24</v>
      </c>
      <c r="D93" s="206"/>
      <c r="E93" s="199">
        <f>IFERROR(VLOOKUP(E$18,'Apoio - Posto'!$A:$AA,IF(VLOOKUP(E26,'Apoio - Regime de Trabalho'!$A:$I,8,FALSE)&gt;=200,9,10),FALSE),"")</f>
        <v>23.68</v>
      </c>
      <c r="F93" s="199">
        <f>IFERROR(VLOOKUP(F$18,'Apoio - Posto'!$A:$AA,IF(VLOOKUP(F26,'Apoio - Regime de Trabalho'!$A:$I,8,FALSE)&gt;=200,9,10),FALSE),"")</f>
        <v>23.68</v>
      </c>
      <c r="G93" s="199">
        <f>IFERROR(VLOOKUP(G$18,'Apoio - Posto'!$A:$AA,IF(VLOOKUP(G26,'Apoio - Regime de Trabalho'!$A:$I,8,FALSE)&gt;=200,9,10),FALSE),"")</f>
        <v>23.68</v>
      </c>
      <c r="H93" s="199">
        <f>IFERROR(VLOOKUP(H$18,'Apoio - Posto'!$A:$AA,IF(VLOOKUP(H26,'Apoio - Regime de Trabalho'!$A:$I,8,FALSE)&gt;=200,9,10),FALSE),"")</f>
        <v>23.68</v>
      </c>
      <c r="I93" s="199" t="str">
        <f>IFERROR(VLOOKUP(I$18,'Apoio - Posto'!$A:$AA,IF(VLOOKUP(I26,'Apoio - Regime de Trabalho'!$A:$I,8,FALSE)&gt;180,9,10),FALSE),"")</f>
        <v/>
      </c>
    </row>
    <row r="94" spans="1:53">
      <c r="A94" s="69"/>
      <c r="B94" s="910"/>
      <c r="C94" s="158" t="s">
        <v>361</v>
      </c>
      <c r="D94" s="209"/>
      <c r="E94" s="201">
        <f>IFERROR(IF(E18="","",VLOOKUP(E26,'Apoio - Regime de Trabalho'!$A:$G,7,FALSE)),"")</f>
        <v>26</v>
      </c>
      <c r="F94" s="201">
        <f>IFERROR(IF(F18="","",VLOOKUP(F26,'Apoio - Regime de Trabalho'!$A:$G,7,FALSE)),"")</f>
        <v>26</v>
      </c>
      <c r="G94" s="201">
        <f>IFERROR(IF(G18="","",VLOOKUP(G26,'Apoio - Regime de Trabalho'!$A:$G,7,FALSE)),"")</f>
        <v>26</v>
      </c>
      <c r="H94" s="201">
        <f>IFERROR(IF(H18="","",VLOOKUP(H26,'Apoio - Regime de Trabalho'!$A:$G,7,FALSE)),"")</f>
        <v>26</v>
      </c>
      <c r="I94" s="201" t="str">
        <f>IFERROR(IF(I18="","",VLOOKUP(I26,'Apoio - Regime de Trabalho'!$A:$G,7,FALSE)),"")</f>
        <v/>
      </c>
    </row>
    <row r="95" spans="1:53">
      <c r="A95" s="69"/>
      <c r="B95" s="910"/>
      <c r="C95" s="158" t="s">
        <v>357</v>
      </c>
      <c r="D95" s="209"/>
      <c r="E95" s="202">
        <f>IFERROR(VLOOKUP(E$18,'Apoio - Posto'!$A:$AA,17,FALSE),"")</f>
        <v>0.19</v>
      </c>
      <c r="F95" s="202">
        <f>IFERROR(VLOOKUP(F$18,'Apoio - Posto'!$A:$AA,17,FALSE),"")</f>
        <v>0.19</v>
      </c>
      <c r="G95" s="202">
        <f>IFERROR(VLOOKUP(G$18,'Apoio - Posto'!$A:$AA,17,FALSE),"")</f>
        <v>0.19</v>
      </c>
      <c r="H95" s="202">
        <f>IFERROR(VLOOKUP(H$18,'Apoio - Posto'!$A:$AA,17,FALSE),"")</f>
        <v>0.19</v>
      </c>
      <c r="I95" s="202" t="str">
        <f>IFERROR(VLOOKUP(I$18,'Apoio - Posto'!$A:$AA,17,FALSE),"")</f>
        <v/>
      </c>
    </row>
    <row r="96" spans="1:53">
      <c r="A96" s="69"/>
      <c r="B96" s="911"/>
      <c r="C96" s="218"/>
      <c r="D96" s="214" t="s">
        <v>43</v>
      </c>
      <c r="E96" s="96">
        <f>IFERROR((E93*E94)-(E$93*E$94*E$95),"")</f>
        <v>498.70079999999996</v>
      </c>
      <c r="F96" s="96">
        <f t="shared" ref="F96:H96" si="23">IFERROR((F93*F94)-(F$93*F$94*F$95),"")</f>
        <v>498.70079999999996</v>
      </c>
      <c r="G96" s="96">
        <f t="shared" si="23"/>
        <v>498.70079999999996</v>
      </c>
      <c r="H96" s="96">
        <f t="shared" si="23"/>
        <v>498.70079999999996</v>
      </c>
      <c r="I96" s="96" t="str">
        <f>IFERROR(ROUND((I93*I94)-(I$93*I$94*I$95),2),"")</f>
        <v/>
      </c>
    </row>
    <row r="97" spans="1:53">
      <c r="A97" s="69"/>
      <c r="B97" s="909" t="s">
        <v>0</v>
      </c>
      <c r="C97" s="156" t="s">
        <v>25</v>
      </c>
      <c r="D97" s="215"/>
      <c r="E97" s="241"/>
      <c r="F97" s="241"/>
      <c r="G97" s="241"/>
      <c r="H97" s="241"/>
      <c r="I97" s="241"/>
    </row>
    <row r="98" spans="1:53">
      <c r="A98" s="69"/>
      <c r="B98" s="910"/>
      <c r="C98" s="192" t="s">
        <v>26</v>
      </c>
      <c r="D98" s="216"/>
      <c r="E98" s="203"/>
      <c r="F98" s="203"/>
      <c r="G98" s="203"/>
      <c r="H98" s="203"/>
      <c r="I98" s="203"/>
    </row>
    <row r="99" spans="1:53">
      <c r="A99" s="69"/>
      <c r="B99" s="910"/>
      <c r="C99" s="194" t="s">
        <v>357</v>
      </c>
      <c r="D99" s="213"/>
      <c r="E99" s="90"/>
      <c r="F99" s="90"/>
      <c r="G99" s="90"/>
      <c r="H99" s="90"/>
      <c r="I99" s="90"/>
    </row>
    <row r="100" spans="1:53">
      <c r="A100" s="69"/>
      <c r="B100" s="911"/>
      <c r="C100" s="218"/>
      <c r="D100" s="214" t="s">
        <v>43</v>
      </c>
      <c r="E100" s="247">
        <f>IF(E20="","",IFERROR((E$98)-(E$99*E$98),""))</f>
        <v>0</v>
      </c>
      <c r="F100" s="247">
        <f t="shared" ref="F100:H100" si="24">IF(F20="","",IFERROR((F$98)-(F$99*F$98),""))</f>
        <v>0</v>
      </c>
      <c r="G100" s="247">
        <f t="shared" si="24"/>
        <v>0</v>
      </c>
      <c r="H100" s="247">
        <f t="shared" si="24"/>
        <v>0</v>
      </c>
      <c r="I100" s="247" t="str">
        <f>IF(I20="","",IFERROR(ROUND((I$98)-(I$99*I$98),2),""))</f>
        <v/>
      </c>
    </row>
    <row r="101" spans="1:53">
      <c r="A101" s="69"/>
      <c r="B101" s="82" t="s">
        <v>3</v>
      </c>
      <c r="C101" s="83" t="s">
        <v>27</v>
      </c>
      <c r="D101" s="183"/>
      <c r="E101" s="379">
        <f>IFERROR(VLOOKUP(E$18,'Apoio - Posto'!$A:$AA,19,FALSE),"")</f>
        <v>0</v>
      </c>
      <c r="F101" s="379">
        <f>IFERROR(VLOOKUP(F$18,'Apoio - Posto'!$A:$AA,19,FALSE),"")</f>
        <v>0</v>
      </c>
      <c r="G101" s="379">
        <f>IFERROR(VLOOKUP(G$18,'Apoio - Posto'!$A:$AA,19,FALSE),"")</f>
        <v>0</v>
      </c>
      <c r="H101" s="379">
        <f>IFERROR(VLOOKUP(H$18,'Apoio - Posto'!$A:$AA,19,FALSE),"")</f>
        <v>0</v>
      </c>
      <c r="I101" s="379" t="str">
        <f>IFERROR(VLOOKUP(I$18,'Apoio - Posto'!$A:$AA,19,FALSE),"")</f>
        <v/>
      </c>
    </row>
    <row r="102" spans="1:53">
      <c r="A102" s="69"/>
      <c r="B102" s="181" t="s">
        <v>7</v>
      </c>
      <c r="C102" s="174" t="s">
        <v>28</v>
      </c>
      <c r="D102" s="182"/>
      <c r="E102" s="380"/>
      <c r="F102" s="380"/>
      <c r="G102" s="380"/>
      <c r="H102" s="380"/>
      <c r="I102" s="380"/>
    </row>
    <row r="103" spans="1:53">
      <c r="A103" s="69"/>
      <c r="B103" s="909" t="s">
        <v>6</v>
      </c>
      <c r="C103" s="190" t="s">
        <v>29</v>
      </c>
      <c r="D103" s="182"/>
      <c r="E103" s="240"/>
      <c r="F103" s="240"/>
      <c r="G103" s="240"/>
      <c r="H103" s="240"/>
      <c r="I103" s="240"/>
    </row>
    <row r="104" spans="1:53">
      <c r="A104" s="69"/>
      <c r="B104" s="910"/>
      <c r="C104" s="198" t="s">
        <v>26</v>
      </c>
      <c r="D104" s="217"/>
      <c r="E104" s="199"/>
      <c r="F104" s="199"/>
      <c r="G104" s="199"/>
      <c r="H104" s="199"/>
      <c r="I104" s="199"/>
    </row>
    <row r="105" spans="1:53">
      <c r="A105" s="69"/>
      <c r="B105" s="910"/>
      <c r="C105" s="200" t="s">
        <v>136</v>
      </c>
      <c r="D105" s="209"/>
      <c r="E105" s="202"/>
      <c r="F105" s="202"/>
      <c r="G105" s="202"/>
      <c r="H105" s="202"/>
      <c r="I105" s="202"/>
    </row>
    <row r="106" spans="1:53">
      <c r="A106" s="69"/>
      <c r="B106" s="911"/>
      <c r="C106" s="218"/>
      <c r="D106" s="214" t="s">
        <v>43</v>
      </c>
      <c r="E106" s="204">
        <f>IF(E20="","",IFERROR((E104)-(E$105*E$104),""))</f>
        <v>0</v>
      </c>
      <c r="F106" s="204">
        <f t="shared" ref="F106:H106" si="25">IF(F20="","",IFERROR((F104)-(F$105*F$104),""))</f>
        <v>0</v>
      </c>
      <c r="G106" s="204">
        <f t="shared" si="25"/>
        <v>0</v>
      </c>
      <c r="H106" s="204">
        <f t="shared" si="25"/>
        <v>0</v>
      </c>
      <c r="I106" s="204" t="str">
        <f>IF(I20="","",IFERROR(ROUND((I104)-(I$105*I$104),2),""))</f>
        <v/>
      </c>
    </row>
    <row r="107" spans="1:53">
      <c r="A107" s="69"/>
      <c r="B107" s="181" t="s">
        <v>5</v>
      </c>
      <c r="C107" s="174" t="s">
        <v>30</v>
      </c>
      <c r="D107" s="184" t="str">
        <f>IFERROR(VLOOKUP(E18,'Apoio - Posto'!A:J,14,FALSE),"")</f>
        <v/>
      </c>
      <c r="E107" s="418">
        <f>IFERROR(VLOOKUP(E$18,'Apoio - Posto'!$A:$AA,18,FALSE),"")</f>
        <v>19.420000000000002</v>
      </c>
      <c r="F107" s="418">
        <f>IFERROR(VLOOKUP(F$18,'Apoio - Posto'!$A:$AA,18,FALSE),"")</f>
        <v>19.420000000000002</v>
      </c>
      <c r="G107" s="418">
        <f>IFERROR(VLOOKUP(G$18,'Apoio - Posto'!$A:$AA,18,FALSE),"")</f>
        <v>19.420000000000002</v>
      </c>
      <c r="H107" s="418">
        <f>IFERROR(VLOOKUP(H$18,'Apoio - Posto'!$A:$AA,18,FALSE),"")</f>
        <v>19.420000000000002</v>
      </c>
      <c r="I107" s="185" t="str">
        <f>IFERROR(VLOOKUP(I$18,'Apoio - Posto'!$A:$AA,18,FALSE),"")</f>
        <v/>
      </c>
    </row>
    <row r="108" spans="1:53">
      <c r="A108" s="69"/>
      <c r="B108" s="909" t="s">
        <v>4</v>
      </c>
      <c r="C108" s="190" t="s">
        <v>142</v>
      </c>
      <c r="D108" s="182"/>
      <c r="E108" s="237"/>
      <c r="F108" s="237"/>
      <c r="G108" s="237"/>
      <c r="H108" s="237"/>
      <c r="I108" s="237"/>
    </row>
    <row r="109" spans="1:53">
      <c r="A109" s="69"/>
      <c r="B109" s="910"/>
      <c r="C109" s="210" t="s">
        <v>356</v>
      </c>
      <c r="D109" s="217"/>
      <c r="E109" s="419"/>
      <c r="F109" s="419"/>
      <c r="G109" s="419"/>
      <c r="H109" s="419"/>
      <c r="I109" s="205"/>
    </row>
    <row r="110" spans="1:53">
      <c r="A110" s="69"/>
      <c r="B110" s="910"/>
      <c r="C110" s="158" t="s">
        <v>357</v>
      </c>
      <c r="D110" s="209"/>
      <c r="E110" s="208"/>
      <c r="F110" s="208"/>
      <c r="G110" s="208"/>
      <c r="H110" s="208"/>
      <c r="I110" s="208"/>
    </row>
    <row r="111" spans="1:53">
      <c r="A111" s="69"/>
      <c r="B111" s="911"/>
      <c r="C111" s="92"/>
      <c r="D111" s="222" t="s">
        <v>43</v>
      </c>
      <c r="E111" s="207">
        <f>IF(E18="","",E109*(1-E110))</f>
        <v>0</v>
      </c>
      <c r="F111" s="207">
        <f t="shared" ref="F111:H111" si="26">IF(F18="","",F109*(1-F110))</f>
        <v>0</v>
      </c>
      <c r="G111" s="207">
        <f t="shared" si="26"/>
        <v>0</v>
      </c>
      <c r="H111" s="207">
        <f t="shared" si="26"/>
        <v>0</v>
      </c>
      <c r="I111" s="207" t="str">
        <f>IF(I18="","",I109*(1-I110))</f>
        <v/>
      </c>
    </row>
    <row r="112" spans="1:53" s="5" customFormat="1">
      <c r="A112" s="71"/>
      <c r="B112" s="186"/>
      <c r="C112" s="187" t="s">
        <v>145</v>
      </c>
      <c r="D112" s="188"/>
      <c r="E112" s="189">
        <f>IF(E20="","",SUM(E91,E96,E100,E101,E102,E106,E107,E111))</f>
        <v>675.29019999999991</v>
      </c>
      <c r="F112" s="189">
        <f t="shared" ref="F112:H112" si="27">IF(F20="","",SUM(F91,F96,F100,F101,F102,F106,F107,F111))</f>
        <v>675.29019999999991</v>
      </c>
      <c r="G112" s="189">
        <f t="shared" si="27"/>
        <v>650.27319999999997</v>
      </c>
      <c r="H112" s="189">
        <f t="shared" si="27"/>
        <v>650.27319999999997</v>
      </c>
      <c r="I112" s="189" t="str">
        <f>IF(I20="","",SUM(I91,I96,I100,I101,I102,I106,I107,I111))</f>
        <v/>
      </c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</row>
    <row r="113" spans="1:53" customFormat="1" ht="3.75" customHeight="1"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</row>
    <row r="114" spans="1:53" s="5" customFormat="1">
      <c r="A114" s="68"/>
      <c r="B114" s="153"/>
      <c r="C114" s="85" t="s">
        <v>143</v>
      </c>
      <c r="D114" s="149"/>
      <c r="E114" s="150">
        <f>IF(E20="","",IFERROR(SUM(E112,E83,E69),""))</f>
        <v>2042.6468759999998</v>
      </c>
      <c r="F114" s="151">
        <f t="shared" ref="F114:H114" si="28">IF(F20="","",IFERROR(SUM(F112,F83,F69),""))</f>
        <v>2042.6468759999998</v>
      </c>
      <c r="G114" s="455">
        <f t="shared" si="28"/>
        <v>2263.6117319999998</v>
      </c>
      <c r="H114" s="151">
        <f t="shared" si="28"/>
        <v>2511.8176600000006</v>
      </c>
      <c r="I114" s="152" t="str">
        <f>IF(I20="","",IFERROR(SUM(I112,I83,I69),""))</f>
        <v/>
      </c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</row>
    <row r="115" spans="1:53" s="6" customFormat="1">
      <c r="B115" s="7"/>
      <c r="C115" s="7"/>
      <c r="D115" s="7"/>
      <c r="E115" s="8"/>
      <c r="F115" s="8"/>
      <c r="G115" s="8"/>
      <c r="H115" s="8"/>
      <c r="I115" s="8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</row>
    <row r="116" spans="1:53" s="6" customFormat="1">
      <c r="A116" s="69"/>
      <c r="B116" s="84"/>
      <c r="C116" s="85" t="s">
        <v>155</v>
      </c>
      <c r="D116" s="86"/>
      <c r="E116" s="368"/>
      <c r="F116" s="454"/>
      <c r="G116" s="368"/>
      <c r="H116" s="368"/>
      <c r="I116" s="368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AZ116" s="300"/>
      <c r="BA116" s="300"/>
    </row>
    <row r="117" spans="1:53" s="13" customFormat="1">
      <c r="A117" s="72"/>
      <c r="B117" s="82" t="s">
        <v>2</v>
      </c>
      <c r="C117" s="83" t="s">
        <v>272</v>
      </c>
      <c r="D117" s="404">
        <f>INDEX('Apoio - Notas Explicativas'!Q:Q,MATCH(C117,'Apoio - Notas Explicativas'!C:C,0))</f>
        <v>4.1999999999999997E-3</v>
      </c>
      <c r="E117" s="94">
        <f t="shared" ref="E117:E122" si="29">IFERROR($D117*E$61,"")</f>
        <v>9.0581987999999996</v>
      </c>
      <c r="F117" s="94">
        <f t="shared" ref="F117:H122" si="30">IFERROR($D117*F$61,"")</f>
        <v>9.0581987999999996</v>
      </c>
      <c r="G117" s="94">
        <f t="shared" si="30"/>
        <v>10.687731599999999</v>
      </c>
      <c r="H117" s="94">
        <f t="shared" si="30"/>
        <v>12.331997999999999</v>
      </c>
      <c r="I117" s="133" t="str">
        <f t="shared" ref="I117:I122" si="31">IFERROR(ROUND($D117*I$61,2),"")</f>
        <v/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</row>
    <row r="118" spans="1:53" s="13" customFormat="1">
      <c r="A118" s="72"/>
      <c r="B118" s="82" t="s">
        <v>1</v>
      </c>
      <c r="C118" s="83" t="s">
        <v>31</v>
      </c>
      <c r="D118" s="404">
        <f>INDEX('Apoio - Notas Explicativas'!Q:Q,MATCH(C118,'Apoio - Notas Explicativas'!C:C,0))</f>
        <v>2.9999999999999997E-4</v>
      </c>
      <c r="E118" s="94">
        <f t="shared" si="29"/>
        <v>0.64701419999999987</v>
      </c>
      <c r="F118" s="94">
        <f t="shared" si="30"/>
        <v>0.64701419999999987</v>
      </c>
      <c r="G118" s="94">
        <f t="shared" si="30"/>
        <v>0.7634093999999999</v>
      </c>
      <c r="H118" s="94">
        <f t="shared" si="30"/>
        <v>0.88085699999999989</v>
      </c>
      <c r="I118" s="133" t="str">
        <f t="shared" si="31"/>
        <v/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</row>
    <row r="119" spans="1:53" s="13" customFormat="1">
      <c r="A119" s="72"/>
      <c r="B119" s="82" t="s">
        <v>0</v>
      </c>
      <c r="C119" s="83" t="s">
        <v>32</v>
      </c>
      <c r="D119" s="404">
        <f>INDEX('Apoio - Notas Explicativas'!Q:Q,MATCH(C119,'Apoio - Notas Explicativas'!C:C,0))</f>
        <v>1E-4</v>
      </c>
      <c r="E119" s="94">
        <f t="shared" si="29"/>
        <v>0.21567140000000001</v>
      </c>
      <c r="F119" s="94">
        <f t="shared" si="30"/>
        <v>0.21567140000000001</v>
      </c>
      <c r="G119" s="94">
        <f t="shared" si="30"/>
        <v>0.25446980000000002</v>
      </c>
      <c r="H119" s="94">
        <f t="shared" si="30"/>
        <v>0.29361900000000002</v>
      </c>
      <c r="I119" s="133" t="str">
        <f t="shared" si="31"/>
        <v/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</row>
    <row r="120" spans="1:53" s="13" customFormat="1">
      <c r="A120" s="72"/>
      <c r="B120" s="82" t="s">
        <v>3</v>
      </c>
      <c r="C120" s="83" t="s">
        <v>33</v>
      </c>
      <c r="D120" s="404">
        <f>INDEX('Apoio - Notas Explicativas'!Q:Q,MATCH(C120,'Apoio - Notas Explicativas'!C:C,0))</f>
        <v>1.9800000000000002E-2</v>
      </c>
      <c r="E120" s="94">
        <f t="shared" si="29"/>
        <v>42.702937200000001</v>
      </c>
      <c r="F120" s="94">
        <f t="shared" si="30"/>
        <v>42.702937200000001</v>
      </c>
      <c r="G120" s="94">
        <f t="shared" si="30"/>
        <v>50.385020400000002</v>
      </c>
      <c r="H120" s="94">
        <f t="shared" si="30"/>
        <v>58.136562000000005</v>
      </c>
      <c r="I120" s="133" t="str">
        <f t="shared" si="31"/>
        <v/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1:53" s="13" customFormat="1">
      <c r="A121" s="72"/>
      <c r="B121" s="82" t="s">
        <v>7</v>
      </c>
      <c r="C121" s="83" t="s">
        <v>34</v>
      </c>
      <c r="D121" s="404">
        <f>INDEX('Apoio - Notas Explicativas'!Q:Q,MATCH(C121,'Apoio - Notas Explicativas'!C:C,0))</f>
        <v>7.3000000000000001E-3</v>
      </c>
      <c r="E121" s="94">
        <f t="shared" si="29"/>
        <v>15.7440122</v>
      </c>
      <c r="F121" s="94">
        <f t="shared" si="30"/>
        <v>15.7440122</v>
      </c>
      <c r="G121" s="94">
        <f t="shared" si="30"/>
        <v>18.576295399999999</v>
      </c>
      <c r="H121" s="94">
        <f t="shared" si="30"/>
        <v>21.434187000000001</v>
      </c>
      <c r="I121" s="133" t="str">
        <f t="shared" si="31"/>
        <v/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</row>
    <row r="122" spans="1:53" s="13" customFormat="1">
      <c r="A122" s="72"/>
      <c r="B122" s="82" t="s">
        <v>6</v>
      </c>
      <c r="C122" s="83" t="s">
        <v>35</v>
      </c>
      <c r="D122" s="404">
        <f>INDEX('Apoio - Notas Explicativas'!Q:Q,MATCH(C122,'Apoio - Notas Explicativas'!C:C,0))</f>
        <v>0.04</v>
      </c>
      <c r="E122" s="94">
        <f t="shared" si="29"/>
        <v>86.268559999999994</v>
      </c>
      <c r="F122" s="94">
        <f t="shared" si="30"/>
        <v>86.268559999999994</v>
      </c>
      <c r="G122" s="94">
        <f t="shared" si="30"/>
        <v>101.78792</v>
      </c>
      <c r="H122" s="94">
        <f t="shared" si="30"/>
        <v>117.44760000000001</v>
      </c>
      <c r="I122" s="133" t="str">
        <f t="shared" si="31"/>
        <v/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</row>
    <row r="123" spans="1:53" s="5" customFormat="1">
      <c r="A123" s="68"/>
      <c r="B123" s="153"/>
      <c r="C123" s="85" t="s">
        <v>144</v>
      </c>
      <c r="D123" s="149"/>
      <c r="E123" s="151">
        <f>IF(SUM(E117:E122)=0,"",SUM(E117:E122))</f>
        <v>154.63639380000001</v>
      </c>
      <c r="F123" s="151">
        <f t="shared" ref="F123:H123" si="32">IF(SUM(F117:F122)=0,"",SUM(F117:F122))</f>
        <v>154.63639380000001</v>
      </c>
      <c r="G123" s="151">
        <f t="shared" si="32"/>
        <v>182.4548466</v>
      </c>
      <c r="H123" s="151">
        <f t="shared" si="32"/>
        <v>210.52482300000003</v>
      </c>
      <c r="I123" s="152" t="str">
        <f>IF(SUM(I117:I122)=0,"",SUM(I117:I122))</f>
        <v/>
      </c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</row>
    <row r="124" spans="1:53" s="18" customFormat="1">
      <c r="A124" s="17"/>
      <c r="D124" s="14"/>
      <c r="E124" s="19"/>
      <c r="F124" s="19"/>
      <c r="G124" s="19"/>
      <c r="H124" s="19"/>
      <c r="I124" s="19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</row>
    <row r="125" spans="1:53" s="6" customFormat="1">
      <c r="A125" s="69"/>
      <c r="B125" s="84"/>
      <c r="C125" s="85" t="s">
        <v>156</v>
      </c>
      <c r="D125" s="86"/>
      <c r="E125" s="368"/>
      <c r="F125" s="368"/>
      <c r="G125" s="368"/>
      <c r="H125" s="368"/>
      <c r="I125" s="368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AZ125" s="300"/>
      <c r="BA125" s="300"/>
    </row>
    <row r="126" spans="1:53" customFormat="1" ht="3.75" customHeight="1"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</row>
    <row r="127" spans="1:53" s="6" customFormat="1">
      <c r="A127" s="70"/>
      <c r="B127" s="167"/>
      <c r="C127" s="168" t="s">
        <v>230</v>
      </c>
      <c r="D127" s="169"/>
      <c r="E127" s="172"/>
      <c r="F127" s="170"/>
      <c r="G127" s="170"/>
      <c r="H127" s="170"/>
      <c r="I127" s="17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</row>
    <row r="128" spans="1:53" s="13" customFormat="1">
      <c r="A128" s="73"/>
      <c r="B128" s="82" t="s">
        <v>2</v>
      </c>
      <c r="C128" s="83" t="s">
        <v>36</v>
      </c>
      <c r="D128" s="404">
        <f>INDEX('Apoio - Notas Explicativas'!$Q:$Q,MATCH(C128,'Apoio - Notas Explicativas'!$C:$C,0))</f>
        <v>1.6199999999999999E-2</v>
      </c>
      <c r="E128" s="94">
        <f>IF(E20="","",IFERROR($D128*SUM(E$61),""))</f>
        <v>34.938766799999996</v>
      </c>
      <c r="F128" s="133">
        <f t="shared" ref="F128:H128" si="33">IF(F20="","",IFERROR($D128*SUM(F$61),""))</f>
        <v>34.938766799999996</v>
      </c>
      <c r="G128" s="133">
        <f t="shared" si="33"/>
        <v>41.224107599999996</v>
      </c>
      <c r="H128" s="133">
        <f t="shared" si="33"/>
        <v>47.566277999999997</v>
      </c>
      <c r="I128" s="133" t="str">
        <f>IF(I20="","",IFERROR(ROUND($D128*SUM(I$61),2),""))</f>
        <v/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</row>
    <row r="129" spans="1:53" s="13" customFormat="1">
      <c r="A129" s="73"/>
      <c r="B129" s="82" t="s">
        <v>1</v>
      </c>
      <c r="C129" s="83" t="s">
        <v>238</v>
      </c>
      <c r="D129" s="404">
        <f>INDEX('Apoio - Notas Explicativas'!$Q:$Q,MATCH(C129,'Apoio - Notas Explicativas'!$C:$C,0))</f>
        <v>1.3899999999999999E-2</v>
      </c>
      <c r="E129" s="94">
        <f>IFERROR($D129*(E61+E66+E67),"")</f>
        <v>35.806110902239993</v>
      </c>
      <c r="F129" s="133">
        <f t="shared" ref="F129:H129" si="34">IFERROR($D129*(F61+F66+F67),"")</f>
        <v>35.806110902239993</v>
      </c>
      <c r="G129" s="133">
        <f t="shared" si="34"/>
        <v>42.247483347679996</v>
      </c>
      <c r="H129" s="133">
        <f t="shared" si="34"/>
        <v>48.747096170399999</v>
      </c>
      <c r="I129" s="133" t="str">
        <f>IFERROR(ROUND($D129*(I61+I66+I67),2),"")</f>
        <v/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</row>
    <row r="130" spans="1:53" s="13" customFormat="1">
      <c r="A130" s="73"/>
      <c r="B130" s="82" t="s">
        <v>0</v>
      </c>
      <c r="C130" s="83" t="s">
        <v>37</v>
      </c>
      <c r="D130" s="404">
        <f>INDEX('Apoio - Notas Explicativas'!$Q:$Q,MATCH(C130,'Apoio - Notas Explicativas'!$C:$C,0))</f>
        <v>2.0000000000000001E-4</v>
      </c>
      <c r="E130" s="94">
        <f>IFERROR($D130*(E61+E66+E67),"")</f>
        <v>0.51519584031999999</v>
      </c>
      <c r="F130" s="133">
        <f t="shared" ref="F130:H130" si="35">IFERROR($D130*(F61+F66+F67),"")</f>
        <v>0.51519584031999999</v>
      </c>
      <c r="G130" s="133">
        <f t="shared" si="35"/>
        <v>0.60787745823999995</v>
      </c>
      <c r="H130" s="133">
        <f t="shared" si="35"/>
        <v>0.70139706720000006</v>
      </c>
      <c r="I130" s="133" t="str">
        <f>IFERROR(ROUND($D130*(I61+I66+I67),2),"")</f>
        <v/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</row>
    <row r="131" spans="1:53" s="13" customFormat="1">
      <c r="A131" s="73"/>
      <c r="B131" s="82" t="s">
        <v>3</v>
      </c>
      <c r="C131" s="83" t="s">
        <v>38</v>
      </c>
      <c r="D131" s="404">
        <f>INDEX('Apoio - Notas Explicativas'!$Q:$Q,MATCH(C131,'Apoio - Notas Explicativas'!$C:$C,0))</f>
        <v>8.2000000000000007E-3</v>
      </c>
      <c r="E131" s="94">
        <f>IFERROR($D131*(E61+E66+E67),"")</f>
        <v>21.123029453119997</v>
      </c>
      <c r="F131" s="133">
        <f t="shared" ref="F131:H131" si="36">IFERROR($D131*(F61+F66+F67),"")</f>
        <v>21.123029453119997</v>
      </c>
      <c r="G131" s="133">
        <f t="shared" si="36"/>
        <v>24.922975787839999</v>
      </c>
      <c r="H131" s="133">
        <f t="shared" si="36"/>
        <v>28.757279755200003</v>
      </c>
      <c r="I131" s="133" t="str">
        <f>IFERROR(ROUND($D131*(I61+I66+I67),2),"")</f>
        <v/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</row>
    <row r="132" spans="1:53" s="13" customFormat="1">
      <c r="A132" s="73"/>
      <c r="B132" s="82" t="s">
        <v>7</v>
      </c>
      <c r="C132" s="83" t="s">
        <v>239</v>
      </c>
      <c r="D132" s="404">
        <f>INDEX('Apoio - Notas Explicativas'!$Q:$Q,MATCH(C132,'Apoio - Notas Explicativas'!$C:$C,0))</f>
        <v>2.9999999999999997E-4</v>
      </c>
      <c r="E132" s="94">
        <f>IFERROR($D132*(E61+E66+E67),"")</f>
        <v>0.77279376047999981</v>
      </c>
      <c r="F132" s="133">
        <f t="shared" ref="F132:H132" si="37">IFERROR($D132*(F61+F66+F67),"")</f>
        <v>0.77279376047999981</v>
      </c>
      <c r="G132" s="133">
        <f t="shared" si="37"/>
        <v>0.91181618735999981</v>
      </c>
      <c r="H132" s="133">
        <f t="shared" si="37"/>
        <v>1.0520956008</v>
      </c>
      <c r="I132" s="133" t="str">
        <f>IFERROR(ROUND($D132*(I61+I66+I67),2),"")</f>
        <v/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1:53" s="13" customFormat="1">
      <c r="A133" s="73"/>
      <c r="B133" s="82" t="s">
        <v>6</v>
      </c>
      <c r="C133" s="83" t="s">
        <v>39</v>
      </c>
      <c r="D133" s="404">
        <f>INDEX('Apoio - Notas Explicativas'!$Q:$Q,MATCH(C133,'Apoio - Notas Explicativas'!$C:$C,0))</f>
        <v>6.9999999999999999E-4</v>
      </c>
      <c r="E133" s="94">
        <f>IFERROR((E$61+E67)*$D$133,"")</f>
        <v>1.6774274477799997</v>
      </c>
      <c r="F133" s="133">
        <f t="shared" ref="F133:H133" si="38">IFERROR((F$61+F67)*$D$133,"")</f>
        <v>1.6774274477799997</v>
      </c>
      <c r="G133" s="133">
        <f t="shared" si="38"/>
        <v>1.9791897634599998</v>
      </c>
      <c r="H133" s="133">
        <f t="shared" si="38"/>
        <v>2.2836804963000001</v>
      </c>
      <c r="I133" s="133" t="str">
        <f>IFERROR(ROUND((I$61+I67)*$D$133,2),"")</f>
        <v/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1:53" s="13" customFormat="1">
      <c r="A134" s="73"/>
      <c r="B134" s="82" t="s">
        <v>5</v>
      </c>
      <c r="C134" s="83" t="s">
        <v>94</v>
      </c>
      <c r="D134" s="404">
        <f>SUM(D128:D133)*SUM(D81:D82,D72:D77)</f>
        <v>1.4536000000000002E-2</v>
      </c>
      <c r="E134" s="94">
        <f>IF(E18="","",SUM(E128:E133)*SUM($D$72:$D$77,$D$81:$D$82))</f>
        <v>34.898663307049929</v>
      </c>
      <c r="F134" s="133">
        <f t="shared" ref="F134:H134" si="39">IF(F18="","",SUM(F128:F133)*SUM($D$72:$D$77,$D$81:$D$82))</f>
        <v>34.898663307049929</v>
      </c>
      <c r="G134" s="133">
        <f t="shared" si="39"/>
        <v>41.176789653205454</v>
      </c>
      <c r="H134" s="133">
        <f t="shared" si="39"/>
        <v>47.511680369083216</v>
      </c>
      <c r="I134" s="133" t="str">
        <f>IF(I18="","",ROUND(SUM(I128:I133)*SUM($D$72:$D$77,$D$81:$D$82),2))</f>
        <v/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1:53" s="13" customFormat="1">
      <c r="A135" s="73"/>
      <c r="B135" s="82" t="s">
        <v>4</v>
      </c>
      <c r="C135" s="83" t="s">
        <v>91</v>
      </c>
      <c r="D135" s="414">
        <f>INDEX('Apoio - Notas Explicativas'!$Q:$Q,MATCH(C135,'Apoio - Notas Explicativas'!$C:$C,0))</f>
        <v>37.96</v>
      </c>
      <c r="E135" s="94">
        <f>IFERROR(((E112-SUM(E91,E96))/(30*12))*$D$135,"")</f>
        <v>2.0477311111111067</v>
      </c>
      <c r="F135" s="133">
        <f t="shared" ref="F135:H135" si="40">IFERROR(((F112-SUM(F91,F96))/(30*12))*$D$135,"")</f>
        <v>2.0477311111111067</v>
      </c>
      <c r="G135" s="133">
        <f t="shared" si="40"/>
        <v>2.0477311111111067</v>
      </c>
      <c r="H135" s="133">
        <f t="shared" si="40"/>
        <v>2.0477311111111067</v>
      </c>
      <c r="I135" s="133" t="str">
        <f>IFERROR(ROUND(((I112-SUM(I91,I96))/(30*12))*$D$135,2),"")</f>
        <v/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1:53" s="13" customFormat="1">
      <c r="A136" s="73"/>
      <c r="B136" s="82" t="s">
        <v>141</v>
      </c>
      <c r="C136" s="83" t="s">
        <v>40</v>
      </c>
      <c r="D136" s="414">
        <f>INDEX('Apoio - Notas Explicativas'!$Q:$Q,MATCH(C136,'Apoio - Notas Explicativas'!$C:$C,0))</f>
        <v>37.96</v>
      </c>
      <c r="E136" s="94">
        <f>IFERROR(((((E$123/12)*$D$136))/30),"")</f>
        <v>16.305548635133334</v>
      </c>
      <c r="F136" s="133">
        <f t="shared" ref="F136:H136" si="41">IFERROR(((((F$123/12)*$D$136))/30),"")</f>
        <v>16.305548635133334</v>
      </c>
      <c r="G136" s="133">
        <f t="shared" si="41"/>
        <v>19.238849935933334</v>
      </c>
      <c r="H136" s="133">
        <f t="shared" si="41"/>
        <v>22.198673003000003</v>
      </c>
      <c r="I136" s="133" t="str">
        <f>IFERROR(ROUND(((((I$123/12)*$D$136))/30),2),"")</f>
        <v/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1:53" s="5" customFormat="1">
      <c r="A137" s="71"/>
      <c r="B137" s="167"/>
      <c r="C137" s="168" t="s">
        <v>148</v>
      </c>
      <c r="D137" s="171"/>
      <c r="E137" s="172">
        <f>IF(SUM(E128:E136)=0,"",SUM(E128:E136))</f>
        <v>148.08526725723439</v>
      </c>
      <c r="F137" s="170">
        <f t="shared" ref="F137:H137" si="42">IF(SUM(F128:F136)=0,"",SUM(F128:F136))</f>
        <v>148.08526725723439</v>
      </c>
      <c r="G137" s="172">
        <f t="shared" si="42"/>
        <v>174.35682084482991</v>
      </c>
      <c r="H137" s="170">
        <f t="shared" si="42"/>
        <v>200.86591157309437</v>
      </c>
      <c r="I137" s="170" t="str">
        <f>IF(SUM(I128:I136)=0,"",SUM(I128:I136))</f>
        <v/>
      </c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</row>
    <row r="138" spans="1:53" customFormat="1" hidden="1"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</row>
    <row r="139" spans="1:53" s="6" customFormat="1" hidden="1">
      <c r="A139" s="70"/>
      <c r="B139" s="167"/>
      <c r="C139" s="168" t="s">
        <v>434</v>
      </c>
      <c r="D139" s="169"/>
      <c r="E139" s="172"/>
      <c r="F139" s="172"/>
      <c r="G139" s="172"/>
      <c r="H139" s="172"/>
      <c r="I139" s="172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</row>
    <row r="140" spans="1:53" s="13" customFormat="1" hidden="1">
      <c r="A140" s="74"/>
      <c r="B140" s="909" t="s">
        <v>2</v>
      </c>
      <c r="C140" s="131" t="s">
        <v>399</v>
      </c>
      <c r="D140" s="182"/>
      <c r="E140" s="144"/>
      <c r="F140" s="144"/>
      <c r="G140" s="144"/>
      <c r="H140" s="144"/>
      <c r="I140" s="13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1:53" s="24" customFormat="1" hidden="1">
      <c r="A141" s="74"/>
      <c r="B141" s="910"/>
      <c r="C141" s="132" t="s">
        <v>362</v>
      </c>
      <c r="D141" s="175"/>
      <c r="E141" s="176"/>
      <c r="F141" s="176"/>
      <c r="G141" s="176"/>
      <c r="H141" s="176"/>
      <c r="I141" s="177"/>
    </row>
    <row r="142" spans="1:53" s="24" customFormat="1" hidden="1">
      <c r="A142" s="74"/>
      <c r="B142" s="911"/>
      <c r="C142" s="220"/>
      <c r="D142" s="221" t="s">
        <v>43</v>
      </c>
      <c r="E142" s="96" t="str">
        <f>IF(E141="Rendição",(((SUM(E61,E$83,E$112,E148)/VLOOKUP(E$26,'Apoio - Regime de Trabalho'!$A:$I,8,FALSE)))*VLOOKUP(E$26,'Apoio - Regime de Trabalho'!$A:$I,7,FALSE)),
IF(E141="Não",0,
IF(E141="Indenização",(((SUM(E32,E42)/VLOOKUP(E$26,'Apoio - Regime de Trabalho'!$A:$I,8,FALSE))*1.5)*VLOOKUP(E$26,'Apoio - Regime de Trabalho'!$A:$I,7,FALSE)),"")))</f>
        <v/>
      </c>
      <c r="F142" s="96" t="str">
        <f>IF(F141="Rendição",(((SUM(F61,F$83,F$112,F148)/VLOOKUP(F$26,'Apoio - Regime de Trabalho'!$A:$I,8,FALSE)))*VLOOKUP(F$26,'Apoio - Regime de Trabalho'!$A:$I,7,FALSE)),
IF(F141="Não",0,
IF(F141="Indenização",(((SUM(F32,F42)/VLOOKUP(F$26,'Apoio - Regime de Trabalho'!$A:$I,8,FALSE))*1.5)*VLOOKUP(F$26,'Apoio - Regime de Trabalho'!$A:$I,7,FALSE)),"")))</f>
        <v/>
      </c>
      <c r="G142" s="96" t="str">
        <f>IF(G141="Rendição",(((SUM(G61,G$83,G$112,G148)/VLOOKUP(G$26,'Apoio - Regime de Trabalho'!$A:$I,8,FALSE)))*VLOOKUP(G$26,'Apoio - Regime de Trabalho'!$A:$I,7,FALSE)),
IF(G141="Não",0,
IF(G141="Indenização",(((SUM(G32,G42)/VLOOKUP(G$26,'Apoio - Regime de Trabalho'!$A:$I,8,FALSE))*1.5)*VLOOKUP(G$26,'Apoio - Regime de Trabalho'!$A:$I,7,FALSE)),"")))</f>
        <v/>
      </c>
      <c r="H142" s="96" t="str">
        <f>IF(H141="Rendição",(((SUM(H61,H$83,H$112,H148)/VLOOKUP(H$26,'Apoio - Regime de Trabalho'!$A:$I,8,FALSE)))*VLOOKUP(H$26,'Apoio - Regime de Trabalho'!$A:$I,7,FALSE)),
IF(H141="Não",0,
IF(H141="Indenização",(((SUM(H32,H42)/VLOOKUP(H$26,'Apoio - Regime de Trabalho'!$A:$I,8,FALSE))*1.5)*VLOOKUP(H$26,'Apoio - Regime de Trabalho'!$A:$I,7,FALSE)),"")))</f>
        <v/>
      </c>
      <c r="I142" s="96" t="str">
        <f>IF(I141="Rendição",(((SUM(I61,I$83,I$112,I148)/VLOOKUP(I$26,'Apoio - Regime de Trabalho'!$A:$I,8,FALSE)))*VLOOKUP(I$26,'Apoio - Regime de Trabalho'!$A:$I,7,FALSE)),IF(I141="Não",0,IF(I141="Indenização",(((I61/VLOOKUP(I$26,'Apoio - Regime de Trabalho'!$A:$I,8,FALSE))*1.5)*VLOOKUP(I$26,'Apoio - Regime de Trabalho'!$A:$I,7,FALSE)),"")))</f>
        <v/>
      </c>
    </row>
    <row r="143" spans="1:53" s="5" customFormat="1" hidden="1">
      <c r="A143" s="71"/>
      <c r="B143" s="167"/>
      <c r="C143" s="168" t="s">
        <v>149</v>
      </c>
      <c r="D143" s="171"/>
      <c r="E143" s="170" t="str">
        <f>E142</f>
        <v/>
      </c>
      <c r="F143" s="170" t="str">
        <f t="shared" ref="F143:H143" si="43">F142</f>
        <v/>
      </c>
      <c r="G143" s="170" t="str">
        <f t="shared" si="43"/>
        <v/>
      </c>
      <c r="H143" s="170" t="str">
        <f t="shared" si="43"/>
        <v/>
      </c>
      <c r="I143" s="170" t="str">
        <f>I142</f>
        <v/>
      </c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  <c r="AN143" s="298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298"/>
      <c r="BA143" s="298"/>
    </row>
    <row r="144" spans="1:53" customFormat="1" ht="3.75" customHeight="1"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</row>
    <row r="145" spans="1:53" s="5" customFormat="1">
      <c r="A145" s="68"/>
      <c r="B145" s="153"/>
      <c r="C145" s="85" t="s">
        <v>150</v>
      </c>
      <c r="D145" s="149"/>
      <c r="E145" s="151">
        <f>IF(E143="",E137,SUM(E143,E137))</f>
        <v>148.08526725723439</v>
      </c>
      <c r="F145" s="151">
        <f t="shared" ref="F145:H145" si="44">IF(F143="",F137,SUM(F143,F137))</f>
        <v>148.08526725723439</v>
      </c>
      <c r="G145" s="150">
        <f t="shared" si="44"/>
        <v>174.35682084482991</v>
      </c>
      <c r="H145" s="455">
        <f t="shared" si="44"/>
        <v>200.86591157309437</v>
      </c>
      <c r="I145" s="152" t="str">
        <f>IF(I143="",I137,SUM(I143,I137))</f>
        <v/>
      </c>
      <c r="J145" s="456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98"/>
      <c r="AV145" s="298"/>
      <c r="AW145" s="298"/>
      <c r="AX145" s="298"/>
      <c r="AY145" s="298"/>
      <c r="AZ145" s="298"/>
      <c r="BA145" s="298"/>
    </row>
    <row r="146" spans="1:53" s="5" customFormat="1">
      <c r="B146" s="80"/>
      <c r="C146" s="15"/>
      <c r="D146" s="16"/>
      <c r="E146" s="15"/>
      <c r="F146" s="15"/>
      <c r="G146" s="15"/>
      <c r="H146" s="15"/>
      <c r="I146" s="15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298"/>
      <c r="BA146" s="298"/>
    </row>
    <row r="147" spans="1:53" s="6" customFormat="1">
      <c r="A147" s="69"/>
      <c r="B147" s="84"/>
      <c r="C147" s="85" t="s">
        <v>414</v>
      </c>
      <c r="D147" s="86"/>
      <c r="E147" s="368"/>
      <c r="F147" s="368"/>
      <c r="G147" s="368"/>
      <c r="H147" s="368"/>
      <c r="I147" s="368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AZ147" s="300"/>
      <c r="BA147" s="300"/>
    </row>
    <row r="148" spans="1:53" s="6" customFormat="1">
      <c r="A148" s="73"/>
      <c r="B148" s="82" t="s">
        <v>2</v>
      </c>
      <c r="C148" s="318" t="s">
        <v>275</v>
      </c>
      <c r="D148" s="404"/>
      <c r="E148" s="94">
        <f>IF(E18="","",ROUND(IF($D$148&lt;&gt;"",$D$148*E170,IFERROR('Mat Individual e Uniformes func'!H26/Resumo!$J$6,"")),2))</f>
        <v>0</v>
      </c>
      <c r="F148" s="94">
        <f>IF(F18="","",ROUND(IF($D$148&lt;&gt;"",$D$148*F170,IFERROR('Mat Individual e Uniformes func'!I26/Resumo!$J$6,"")),2))</f>
        <v>0</v>
      </c>
      <c r="G148" s="94">
        <f>IF(G18="","",ROUND(IF($D$148&lt;&gt;"",$D$148*G170,IFERROR('Mat Individual e Uniformes func'!J26/Resumo!$J$6,"")),2))</f>
        <v>0</v>
      </c>
      <c r="H148" s="94">
        <f>IF(H18="","",ROUND(IF($D$148&lt;&gt;"",$D$148*H170,IFERROR('Mat Individual e Uniformes func'!K26/Resumo!$J$6,"")),2))</f>
        <v>0</v>
      </c>
      <c r="I148" s="94" t="str">
        <f>IF(I18="","",IF($D$148&lt;&gt;"",$D$148*I179,IFERROR('Mat Individual e Uniformes func'!L26,"")))</f>
        <v/>
      </c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AZ148" s="300"/>
      <c r="BA148" s="300"/>
    </row>
    <row r="149" spans="1:53" s="6" customFormat="1">
      <c r="A149" s="73"/>
      <c r="B149" s="82" t="s">
        <v>1</v>
      </c>
      <c r="C149" s="318" t="s">
        <v>276</v>
      </c>
      <c r="D149" s="404">
        <f>12%/88%</f>
        <v>0.13636363636363635</v>
      </c>
      <c r="E149" s="94">
        <f>IFERROR(
IF(E18="","",ROUND(
IF($D$149&lt;&gt;"",$D$149*SUM(E148,E179),
IFERROR(SUMIFS('Mat Coletivo e Equipamentos'!$M6:$M1000,'Mat Coletivo e Equipamentos'!$E6:$E1000,"",'Mat Coletivo e Equipamentos'!$F$6:$F$1000,"")/SUM($E$29:$XX$29),0)
+
IFERROR(SUMIFS('Mat Coletivo e Equipamentos'!$M6:$M1000,'Mat Coletivo e Equipamentos'!$E6:$E1000,"Todos",'Mat Coletivo e Equipamentos'!$F$6:$F$1000,"Todos")/SUM($E$29:$XX$29),0)
+
IFERROR(SUMIFS('Mat Coletivo e Equipamentos'!$M6:$M1000,'Mat Coletivo e Equipamentos'!$E6:$E1000,"",'Mat Coletivo e Equipamentos'!$F$6:$F$1000,E25)/SUMIFS($E$29:$XX$29,$E$25:$XX$25,E25),0)
+
IFERROR(SUMIFS('Mat Coletivo e Equipamentos'!$M6:$M1000,'Mat Coletivo e Equipamentos'!$E6:$E1000,"Todos",'Mat Coletivo e Equipamentos'!$F$6:$F$1000,E25)/SUMIFS($E$29:$XX$29,$E$25:$XX$25,E25),0)
+
IFERROR(SUMIFS('Mat Coletivo e Equipamentos'!$M6:$M1000,'Mat Coletivo e Equipamentos'!$E6:$E1000,E17,'Mat Coletivo e Equipamentos'!$F$6:$F$1000,"")/SUMIFS($E$29:$XX$29,$E$19:$XX$19,E19),0)
+
IFERROR(SUMIFS('Mat Coletivo e Equipamentos'!$M6:$M1000,'Mat Coletivo e Equipamentos'!$E6:$E1000,E17,'Mat Coletivo e Equipamentos'!$F$6:$F$1000,E25)/SUMIFS($E$29:$XX$29,$E$19:$XX$19,E19,$E$25:$XX$25,E25)*E28,0)
),2)),"")</f>
        <v>0</v>
      </c>
      <c r="F149" s="94">
        <f>IFERROR(
IF(F18="","",ROUND(
IF($D$149&lt;&gt;"",$D$149*SUM(F148,F179),
IFERROR(SUMIFS('Mat Coletivo e Equipamentos'!$M6:$M1000,'Mat Coletivo e Equipamentos'!$E6:$E1000,"",'Mat Coletivo e Equipamentos'!$F$6:$F$1000,"")/SUM($E$29:$XX$29),0)
+
IFERROR(SUMIFS('Mat Coletivo e Equipamentos'!$M6:$M1000,'Mat Coletivo e Equipamentos'!$E6:$E1000,"Todos",'Mat Coletivo e Equipamentos'!$F$6:$F$1000,"Todos")/SUM($E$29:$XX$29),0)
+
IFERROR(SUMIFS('Mat Coletivo e Equipamentos'!$M6:$M1000,'Mat Coletivo e Equipamentos'!$E6:$E1000,"",'Mat Coletivo e Equipamentos'!$F$6:$F$1000,F25)/SUMIFS($E$29:$XX$29,$E$25:$XX$25,F25),0)
+
IFERROR(SUMIFS('Mat Coletivo e Equipamentos'!$M6:$M1000,'Mat Coletivo e Equipamentos'!$E6:$E1000,"Todos",'Mat Coletivo e Equipamentos'!$F$6:$F$1000,F25)/SUMIFS($E$29:$XX$29,$E$25:$XX$25,F25),0)
+
IFERROR(SUMIFS('Mat Coletivo e Equipamentos'!$M6:$M1000,'Mat Coletivo e Equipamentos'!$E6:$E1000,F17,'Mat Coletivo e Equipamentos'!$F$6:$F$1000,"")/SUMIFS($E$29:$XX$29,$E$19:$XX$19,F19),0)
+
IFERROR(SUMIFS('Mat Coletivo e Equipamentos'!$M6:$M1000,'Mat Coletivo e Equipamentos'!$E6:$E1000,F17,'Mat Coletivo e Equipamentos'!$F$6:$F$1000,F25)/SUMIFS($E$29:$XX$29,$E$19:$XX$19,F19,$E$25:$XX$25,F25)*F28,0)
),2)),"")</f>
        <v>0</v>
      </c>
      <c r="G149" s="94">
        <f>IFERROR(
IF(G18="","",ROUND(
IF($D$149&lt;&gt;"",$D$149*SUM(G148,G179),
IFERROR(SUMIFS('Mat Coletivo e Equipamentos'!$M6:$M1000,'Mat Coletivo e Equipamentos'!$E6:$E1000,"",'Mat Coletivo e Equipamentos'!$F$6:$F$1000,"")/SUM($E$29:$XX$29),0)
+
IFERROR(SUMIFS('Mat Coletivo e Equipamentos'!$M6:$M1000,'Mat Coletivo e Equipamentos'!$E6:$E1000,"Todos",'Mat Coletivo e Equipamentos'!$F$6:$F$1000,"Todos")/SUM($E$29:$XX$29),0)
+
IFERROR(SUMIFS('Mat Coletivo e Equipamentos'!$M6:$M1000,'Mat Coletivo e Equipamentos'!$E6:$E1000,"",'Mat Coletivo e Equipamentos'!$F$6:$F$1000,G25)/SUMIFS($E$29:$XX$29,$E$25:$XX$25,G25),0)
+
IFERROR(SUMIFS('Mat Coletivo e Equipamentos'!$M6:$M1000,'Mat Coletivo e Equipamentos'!$E6:$E1000,"Todos",'Mat Coletivo e Equipamentos'!$F$6:$F$1000,G25)/SUMIFS($E$29:$XX$29,$E$25:$XX$25,G25),0)
+
IFERROR(SUMIFS('Mat Coletivo e Equipamentos'!$M6:$M1000,'Mat Coletivo e Equipamentos'!$E6:$E1000,G17,'Mat Coletivo e Equipamentos'!$F$6:$F$1000,"")/SUMIFS($E$29:$XX$29,$E$19:$XX$19,G19),0)
+
IFERROR(SUMIFS('Mat Coletivo e Equipamentos'!$M6:$M1000,'Mat Coletivo e Equipamentos'!$E6:$E1000,G17,'Mat Coletivo e Equipamentos'!$F$6:$F$1000,G25)/SUMIFS($E$29:$XX$29,$E$19:$XX$19,G19,$E$25:$XX$25,G25)*G28,0)
),2)),"")</f>
        <v>0</v>
      </c>
      <c r="H149" s="94">
        <f>IFERROR(
IF(H18="","",ROUND(
IF($D$149&lt;&gt;"",$D$149*SUM(H148,H179),
IFERROR(SUMIFS('Mat Coletivo e Equipamentos'!$M6:$M1000,'Mat Coletivo e Equipamentos'!$E6:$E1000,"",'Mat Coletivo e Equipamentos'!$F$6:$F$1000,"")/SUM($E$29:$XX$29),0)
+
IFERROR(SUMIFS('Mat Coletivo e Equipamentos'!$M6:$M1000,'Mat Coletivo e Equipamentos'!$E6:$E1000,"Todos",'Mat Coletivo e Equipamentos'!$F$6:$F$1000,"Todos")/SUM($E$29:$XX$29),0)
+
IFERROR(SUMIFS('Mat Coletivo e Equipamentos'!$M6:$M1000,'Mat Coletivo e Equipamentos'!$E6:$E1000,"",'Mat Coletivo e Equipamentos'!$F$6:$F$1000,H25)/SUMIFS($E$29:$XX$29,$E$25:$XX$25,H25),0)
+
IFERROR(SUMIFS('Mat Coletivo e Equipamentos'!$M6:$M1000,'Mat Coletivo e Equipamentos'!$E6:$E1000,"Todos",'Mat Coletivo e Equipamentos'!$F$6:$F$1000,H25)/SUMIFS($E$29:$XX$29,$E$25:$XX$25,H25),0)
+
IFERROR(SUMIFS('Mat Coletivo e Equipamentos'!$M6:$M1000,'Mat Coletivo e Equipamentos'!$E6:$E1000,H17,'Mat Coletivo e Equipamentos'!$F$6:$F$1000,"")/SUMIFS($E$29:$XX$29,$E$19:$XX$19,H19),0)
+
IFERROR(SUMIFS('Mat Coletivo e Equipamentos'!$M6:$M1000,'Mat Coletivo e Equipamentos'!$E6:$E1000,H17,'Mat Coletivo e Equipamentos'!$F$6:$F$1000,H25)/SUMIFS($E$29:$XX$29,$E$19:$XX$19,H19,$E$25:$XX$25,H25)*H28,0)
),2)),"")</f>
        <v>0</v>
      </c>
      <c r="I149" s="94" t="str">
        <f>IFERROR(
IF(I18="","",
IF($D$149&lt;&gt;"",$D$149*SUM(I148,I179),
IFERROR(SUMIFS('Mat Coletivo e Equipamentos'!$M6:$M1000,'Mat Coletivo e Equipamentos'!$E6:$E1000,"",'Mat Coletivo e Equipamentos'!$F$6:$F$1000,"")/SUM(#REF!),0)
+
IFERROR(SUMIFS('Mat Coletivo e Equipamentos'!$M6:$M1000,'Mat Coletivo e Equipamentos'!$E6:$E1000,"Todos",'Mat Coletivo e Equipamentos'!$F$6:$F$1000,"Todos")/SUM(#REF!),0)
+
IFERROR(SUMIFS('Mat Coletivo e Equipamentos'!$M6:$M1000,'Mat Coletivo e Equipamentos'!$E6:$E1000,"",'Mat Coletivo e Equipamentos'!$F$6:$F$1000,I25)/SUMIFS(#REF!,#REF!,I25),0)
+
IFERROR(SUMIFS('Mat Coletivo e Equipamentos'!$M6:$M1000,'Mat Coletivo e Equipamentos'!$E6:$E1000,"Todos",'Mat Coletivo e Equipamentos'!$F$6:$F$1000,I25)/SUMIFS(#REF!,#REF!,I25),0)
+
IFERROR(SUMIFS('Mat Coletivo e Equipamentos'!$M6:$M1000,'Mat Coletivo e Equipamentos'!$E6:$E1000,I18,'Mat Coletivo e Equipamentos'!$F$6:$F$1000,"")/SUMIFS(#REF!,#REF!,I19),0)
+
IFERROR(SUMIFS('Mat Coletivo e Equipamentos'!$M6:$M1000,'Mat Coletivo e Equipamentos'!$E6:$E1000,I18,'Mat Coletivo e Equipamentos'!$F$6:$F$1000,I25)/SUMIFS(#REF!,#REF!,I19,#REF!,I25)*I28,0)
)),"")</f>
        <v/>
      </c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0"/>
      <c r="AY149" s="300"/>
      <c r="AZ149" s="300"/>
      <c r="BA149" s="300"/>
    </row>
    <row r="150" spans="1:53" s="5" customFormat="1">
      <c r="A150" s="68"/>
      <c r="B150" s="153"/>
      <c r="C150" s="85" t="s">
        <v>270</v>
      </c>
      <c r="D150" s="149"/>
      <c r="E150" s="151">
        <f>IF(E18="","",SUM(E148:E149))</f>
        <v>0</v>
      </c>
      <c r="F150" s="151">
        <f t="shared" ref="F150:H150" si="45">IF(F18="","",SUM(F148:F149))</f>
        <v>0</v>
      </c>
      <c r="G150" s="151">
        <f t="shared" si="45"/>
        <v>0</v>
      </c>
      <c r="H150" s="151">
        <f t="shared" si="45"/>
        <v>0</v>
      </c>
      <c r="I150" s="151" t="str">
        <f>IF(I18="","",SUM(#REF!,#REF!))</f>
        <v/>
      </c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</row>
    <row r="151" spans="1:53">
      <c r="F151" s="9"/>
      <c r="G151" s="9"/>
      <c r="H151" s="9"/>
      <c r="I151" s="9"/>
    </row>
    <row r="152" spans="1:53" s="6" customFormat="1">
      <c r="A152" s="69"/>
      <c r="B152" s="84"/>
      <c r="C152" s="85" t="s">
        <v>277</v>
      </c>
      <c r="D152" s="86"/>
      <c r="E152" s="368"/>
      <c r="F152" s="368"/>
      <c r="G152" s="368"/>
      <c r="H152" s="368"/>
      <c r="I152" s="368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AZ152" s="300"/>
      <c r="BA152" s="300"/>
    </row>
    <row r="153" spans="1:53" customFormat="1" ht="3.75" customHeight="1"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</row>
    <row r="154" spans="1:53" s="6" customFormat="1">
      <c r="A154" s="70"/>
      <c r="B154" s="167"/>
      <c r="C154" s="168" t="s">
        <v>281</v>
      </c>
      <c r="D154" s="169"/>
      <c r="E154" s="172"/>
      <c r="F154" s="172"/>
      <c r="G154" s="172"/>
      <c r="H154" s="172"/>
      <c r="I154" s="172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AZ154" s="300"/>
      <c r="BA154" s="300"/>
    </row>
    <row r="155" spans="1:53">
      <c r="A155" s="74"/>
      <c r="B155" s="82" t="s">
        <v>2</v>
      </c>
      <c r="C155" s="83" t="s">
        <v>278</v>
      </c>
      <c r="D155" s="404">
        <f>IFERROR(INDEX('Apoio - Notas Explicativas'!Q:Q,MATCH(C155,'Apoio - Notas Explicativas'!C:C,0)),"")</f>
        <v>0.05</v>
      </c>
      <c r="E155" s="94">
        <f>IF(E18="","",IFERROR(ROUND($D$155*SUM(E61,E114,E123,E145,E150),2),""))</f>
        <v>225.1</v>
      </c>
      <c r="F155" s="94">
        <f t="shared" ref="F155:H155" si="46">IF(F18="","",IFERROR(ROUND($D$155*SUM(F61,F114,F123,F145,F150),2),""))</f>
        <v>225.1</v>
      </c>
      <c r="G155" s="94">
        <f t="shared" si="46"/>
        <v>258.26</v>
      </c>
      <c r="H155" s="94">
        <f t="shared" si="46"/>
        <v>292.97000000000003</v>
      </c>
      <c r="I155" s="94" t="str">
        <f>IF(I18="","",IFERROR($D$155*SUM(I61,I114,I123,I145,I150),""))</f>
        <v/>
      </c>
    </row>
    <row r="156" spans="1:53">
      <c r="A156" s="73"/>
      <c r="B156" s="82" t="s">
        <v>1</v>
      </c>
      <c r="C156" s="83" t="s">
        <v>279</v>
      </c>
      <c r="D156" s="404">
        <f>IFERROR(INDEX('Apoio - Notas Explicativas'!Q:Q,MATCH(C156,'Apoio - Notas Explicativas'!C:C,0)),"")</f>
        <v>0.1</v>
      </c>
      <c r="E156" s="94">
        <f>IF(E18="","",IFERROR(ROUND($D$156*SUM(E155,E61,E114,E123,E145,E150),2),""))</f>
        <v>472.72</v>
      </c>
      <c r="F156" s="94">
        <f t="shared" ref="F156:H156" si="47">IF(F18="","",IFERROR(ROUND($D$156*SUM(F155,F61,F114,F123,F145,F150),2),""))</f>
        <v>472.72</v>
      </c>
      <c r="G156" s="94">
        <f t="shared" si="47"/>
        <v>542.34</v>
      </c>
      <c r="H156" s="94">
        <f t="shared" si="47"/>
        <v>615.24</v>
      </c>
      <c r="I156" s="94" t="str">
        <f>IF(I18="","",IFERROR($D$156*SUM(I155,I61,I114,I123,I145,I150),""))</f>
        <v/>
      </c>
    </row>
    <row r="157" spans="1:53" s="5" customFormat="1">
      <c r="A157" s="71"/>
      <c r="B157" s="167"/>
      <c r="C157" s="168" t="s">
        <v>282</v>
      </c>
      <c r="D157" s="171"/>
      <c r="E157" s="172">
        <f>IF(E18="","",SUM(E155:E156))</f>
        <v>697.82</v>
      </c>
      <c r="F157" s="172">
        <f t="shared" ref="F157:H157" si="48">IF(F18="","",SUM(F155:F156))</f>
        <v>697.82</v>
      </c>
      <c r="G157" s="172">
        <f t="shared" si="48"/>
        <v>800.6</v>
      </c>
      <c r="H157" s="172">
        <f t="shared" si="48"/>
        <v>908.21</v>
      </c>
      <c r="I157" s="170" t="str">
        <f>IF(I18="","",SUM(I155:I156))</f>
        <v/>
      </c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  <c r="AN157" s="298"/>
      <c r="AO157" s="298"/>
      <c r="AP157" s="298"/>
      <c r="AQ157" s="298"/>
      <c r="AR157" s="298"/>
      <c r="AS157" s="298"/>
      <c r="AT157" s="298"/>
      <c r="AU157" s="298"/>
      <c r="AV157" s="298"/>
      <c r="AW157" s="298"/>
      <c r="AX157" s="298"/>
      <c r="AY157" s="298"/>
      <c r="AZ157" s="298"/>
      <c r="BA157" s="298"/>
    </row>
    <row r="158" spans="1:53" customFormat="1" ht="3.75" customHeight="1"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</row>
    <row r="159" spans="1:53" s="6" customFormat="1">
      <c r="A159" s="70"/>
      <c r="B159" s="167"/>
      <c r="C159" s="168" t="s">
        <v>396</v>
      </c>
      <c r="D159" s="169"/>
      <c r="E159" s="172"/>
      <c r="F159" s="172"/>
      <c r="G159" s="172"/>
      <c r="H159" s="172"/>
      <c r="I159" s="172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AZ159" s="300"/>
      <c r="BA159" s="300"/>
    </row>
    <row r="160" spans="1:53">
      <c r="A160" s="73"/>
      <c r="B160" s="82" t="s">
        <v>2</v>
      </c>
      <c r="C160" s="83" t="s">
        <v>45</v>
      </c>
      <c r="D160" s="388">
        <f>IFERROR(INDEX('Apoio - Notas Explicativas'!Q:Q,MATCH(C160,'Apoio - Notas Explicativas'!C:C,0)),"")</f>
        <v>7.5999999999999998E-2</v>
      </c>
      <c r="E160" s="94">
        <f>IF(E18="","",IFERROR(ROUND(SUM(E$157,E$61,E$114,E$123,E$145,E$150)*$D160/(1-SUM($D$160:$D$165,E$163)),2),""))</f>
        <v>447.81</v>
      </c>
      <c r="F160" s="94">
        <f t="shared" ref="F160:H160" si="49">IF(F18="","",IFERROR(ROUND(SUM(F$157,F$61,F$114,F$123,F$145,F$150)*$D160/(1-SUM($D$160:$D$165,F$163)),2),""))</f>
        <v>447.81</v>
      </c>
      <c r="G160" s="94">
        <f t="shared" si="49"/>
        <v>513.76</v>
      </c>
      <c r="H160" s="94">
        <f t="shared" si="49"/>
        <v>582.82000000000005</v>
      </c>
      <c r="I160" s="94" t="str">
        <f t="shared" ref="I160:I161" si="50">IF(I18="","",IFERROR(SUM(I$157,I$61,I$114,I$123,I$145,I$150)*$D160/(1-SUM($D$160:$D$165,I$163)),""))</f>
        <v/>
      </c>
    </row>
    <row r="161" spans="1:53">
      <c r="A161" s="74"/>
      <c r="B161" s="82" t="s">
        <v>1</v>
      </c>
      <c r="C161" s="83" t="s">
        <v>134</v>
      </c>
      <c r="D161" s="388">
        <f>IFERROR(INDEX('Apoio - Notas Explicativas'!Q:Q,MATCH(C161,'Apoio - Notas Explicativas'!C:C,0)),"")</f>
        <v>1.6500000000000001E-2</v>
      </c>
      <c r="E161" s="94">
        <f>IF(E19="","",IFERROR(ROUND(SUM(E$157,E$61,E$114,E$123,E$145,E$150)*$D161/(1-SUM($D$160:$D$165,E$163)),2),""))</f>
        <v>97.22</v>
      </c>
      <c r="F161" s="94">
        <f t="shared" ref="F161:H161" si="51">IF(F19="","",IFERROR(ROUND(SUM(F$157,F$61,F$114,F$123,F$145,F$150)*$D161/(1-SUM($D$160:$D$165,F$163)),2),""))</f>
        <v>97.22</v>
      </c>
      <c r="G161" s="94">
        <f t="shared" si="51"/>
        <v>111.54</v>
      </c>
      <c r="H161" s="94">
        <f t="shared" si="51"/>
        <v>126.53</v>
      </c>
      <c r="I161" s="94" t="str">
        <f t="shared" si="50"/>
        <v/>
      </c>
    </row>
    <row r="162" spans="1:53">
      <c r="A162" s="74"/>
      <c r="B162" s="894" t="s">
        <v>0</v>
      </c>
      <c r="C162" s="156" t="s">
        <v>46</v>
      </c>
      <c r="D162" s="415"/>
      <c r="E162" s="144"/>
      <c r="F162" s="144"/>
      <c r="G162" s="144"/>
      <c r="H162" s="144"/>
      <c r="I162" s="144"/>
    </row>
    <row r="163" spans="1:53">
      <c r="A163" s="74"/>
      <c r="B163" s="895"/>
      <c r="C163" s="132" t="s">
        <v>444</v>
      </c>
      <c r="D163" s="177"/>
      <c r="E163" s="384">
        <f>IF(E18="","",
IF($D$13="Simples",INDEX('Apoio - Notas Explicativas'!$Q:$Q,MATCH($C$162,'Apoio - Notas Explicativas'!$C:$C,0)),
IFERROR(VLOOKUP(E$18,'Apoio - Posto'!$A:$AA,20,FALSE),
INDEX('Apoio - Notas Explicativas'!$Q:$Q,MATCH($C$162,'Apoio - Notas Explicativas'!$C:$C,0))
)))</f>
        <v>2.5000000000000001E-2</v>
      </c>
      <c r="F163" s="384">
        <f>IF(F18="","",
IF($D$13="Simples",INDEX('Apoio - Notas Explicativas'!$Q:$Q,MATCH($C$162,'Apoio - Notas Explicativas'!$C:$C,0)),
IFERROR(VLOOKUP(F$18,'Apoio - Posto'!$A:$AA,20,FALSE),
INDEX('Apoio - Notas Explicativas'!$Q:$Q,MATCH($C$162,'Apoio - Notas Explicativas'!$C:$C,0))
)))</f>
        <v>2.5000000000000001E-2</v>
      </c>
      <c r="G163" s="384">
        <f>IF(G18="","",
IF($D$13="Simples",INDEX('Apoio - Notas Explicativas'!$Q:$Q,MATCH($C$162,'Apoio - Notas Explicativas'!$C:$C,0)),
IFERROR(VLOOKUP(G$18,'Apoio - Posto'!$A:$AA,20,FALSE),
INDEX('Apoio - Notas Explicativas'!$Q:$Q,MATCH($C$162,'Apoio - Notas Explicativas'!$C:$C,0))
)))</f>
        <v>2.5000000000000001E-2</v>
      </c>
      <c r="H163" s="384">
        <f>IF(H18="","",
IF($D$13="Simples",INDEX('Apoio - Notas Explicativas'!$Q:$Q,MATCH($C$162,'Apoio - Notas Explicativas'!$C:$C,0)),
IFERROR(VLOOKUP(H$18,'Apoio - Posto'!$A:$AA,20,FALSE),
INDEX('Apoio - Notas Explicativas'!$Q:$Q,MATCH($C$162,'Apoio - Notas Explicativas'!$C:$C,0))
)))</f>
        <v>2.5000000000000001E-2</v>
      </c>
      <c r="I163" s="384" t="str">
        <f>IF(I18="","",IFERROR(VLOOKUP(I$18,'Apoio - Posto'!$A:$AA,20,FALSE),INDEX('Apoio - Notas Explicativas'!$Q:$Q,MATCH($C$162,'Apoio - Notas Explicativas'!$C:$C,0))))</f>
        <v/>
      </c>
    </row>
    <row r="164" spans="1:53">
      <c r="A164" s="73"/>
      <c r="B164" s="896"/>
      <c r="C164" s="83"/>
      <c r="D164" s="416" t="s">
        <v>43</v>
      </c>
      <c r="E164" s="143">
        <f>IF(E20="","",IFERROR(ROUND(SUM(E$157,E$61,E$114,E$123,E$145,E$150)*E163/(1-SUM($D$160:$D$165,E163)),2),""))</f>
        <v>147.31</v>
      </c>
      <c r="F164" s="143">
        <f t="shared" ref="F164:H164" si="52">IF(F20="","",IFERROR(ROUND(SUM(F$157,F$61,F$114,F$123,F$145,F$150)*F163/(1-SUM($D$160:$D$165,F163)),2),""))</f>
        <v>147.31</v>
      </c>
      <c r="G164" s="143">
        <f t="shared" si="52"/>
        <v>169</v>
      </c>
      <c r="H164" s="143">
        <f t="shared" si="52"/>
        <v>191.72</v>
      </c>
      <c r="I164" s="143" t="str">
        <f>IF(I20="","",IFERROR(SUM(I$157,I$61,I$114,I$123,I$145,I$150)*I163/(1-SUM($D$160:$D$165,I163)),""))</f>
        <v/>
      </c>
    </row>
    <row r="165" spans="1:53">
      <c r="A165" s="73"/>
      <c r="B165" s="386" t="s">
        <v>3</v>
      </c>
      <c r="C165" s="387" t="s">
        <v>390</v>
      </c>
      <c r="D165" s="388">
        <v>0</v>
      </c>
      <c r="E165" s="94">
        <f>IF(E21="","",IFERROR(ROUND(SUM(E$157,E$61,E$114,E$123,E$145,E$150)*$D165/(1-SUM($D$160:$D$165,E$163)),2),""))</f>
        <v>0</v>
      </c>
      <c r="F165" s="94">
        <f t="shared" ref="F165:H165" si="53">IF(F21="","",IFERROR(ROUND(SUM(F$157,F$61,F$114,F$123,F$145,F$150)*$D165/(1-SUM($D$160:$D$165,F$163)),2),""))</f>
        <v>0</v>
      </c>
      <c r="G165" s="94">
        <f t="shared" si="53"/>
        <v>0</v>
      </c>
      <c r="H165" s="94">
        <f t="shared" si="53"/>
        <v>0</v>
      </c>
      <c r="I165" s="94" t="str">
        <f>IF(I21="","",IFERROR(SUM(I$157,I$61,I$114,I$123,I$145,I$150)*$D165/(1-SUM($D$160:$D$165,I$163)),""))</f>
        <v/>
      </c>
    </row>
    <row r="166" spans="1:53" s="5" customFormat="1">
      <c r="A166" s="71"/>
      <c r="B166" s="167"/>
      <c r="C166" s="168" t="s">
        <v>283</v>
      </c>
      <c r="D166" s="171"/>
      <c r="E166" s="189">
        <f>IF(E18="","",SUM(E160:E161,E164:E165))</f>
        <v>692.33999999999992</v>
      </c>
      <c r="F166" s="189">
        <f t="shared" ref="F166:H166" si="54">IF(F18="","",SUM(F160:F161,F164:F165))</f>
        <v>692.33999999999992</v>
      </c>
      <c r="G166" s="189">
        <f t="shared" si="54"/>
        <v>794.3</v>
      </c>
      <c r="H166" s="189">
        <f t="shared" si="54"/>
        <v>901.07</v>
      </c>
      <c r="I166" s="189" t="str">
        <f>IF(I18="","",SUM(I160:I161,I164:I165))</f>
        <v/>
      </c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  <c r="AY166" s="298"/>
      <c r="AZ166" s="298"/>
      <c r="BA166" s="298"/>
    </row>
    <row r="167" spans="1:53" customFormat="1" ht="3.75" customHeight="1"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</row>
    <row r="168" spans="1:53" s="5" customFormat="1">
      <c r="A168" s="68"/>
      <c r="B168" s="153"/>
      <c r="C168" s="85" t="s">
        <v>271</v>
      </c>
      <c r="D168" s="149"/>
      <c r="E168" s="151">
        <f>IF(E18="","",SUM(E166,E157))</f>
        <v>1390.1599999999999</v>
      </c>
      <c r="F168" s="151">
        <f t="shared" ref="F168:H168" si="55">IF(F18="","",SUM(F166,F157))</f>
        <v>1390.1599999999999</v>
      </c>
      <c r="G168" s="151">
        <f t="shared" si="55"/>
        <v>1594.9</v>
      </c>
      <c r="H168" s="151">
        <f t="shared" si="55"/>
        <v>1809.2800000000002</v>
      </c>
      <c r="I168" s="152" t="str">
        <f>IF(I18="","",SUM(I166,I157))</f>
        <v/>
      </c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  <c r="AY168" s="298"/>
      <c r="AZ168" s="298"/>
      <c r="BA168" s="298"/>
    </row>
    <row r="169" spans="1:53">
      <c r="F169" s="9"/>
      <c r="G169" s="9"/>
      <c r="H169" s="9"/>
      <c r="I169" s="9"/>
      <c r="L169"/>
      <c r="M169"/>
      <c r="N169"/>
      <c r="O169"/>
      <c r="P169"/>
      <c r="Q169"/>
      <c r="R169"/>
    </row>
    <row r="170" spans="1:53" s="6" customFormat="1">
      <c r="A170" s="69"/>
      <c r="B170" s="84"/>
      <c r="C170" s="85" t="s">
        <v>467</v>
      </c>
      <c r="D170" s="86"/>
      <c r="E170" s="368"/>
      <c r="F170" s="368"/>
      <c r="G170" s="368"/>
      <c r="H170" s="368"/>
      <c r="I170" s="368"/>
      <c r="J170" s="300"/>
      <c r="K170" s="300"/>
      <c r="L170"/>
      <c r="M170"/>
      <c r="N170"/>
      <c r="O170"/>
      <c r="P170"/>
      <c r="Q170"/>
      <c r="R17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</row>
    <row r="171" spans="1:53" ht="3.75" customHeight="1">
      <c r="A171" s="291"/>
      <c r="B171" s="3"/>
      <c r="C171" s="3"/>
      <c r="D171" s="3"/>
      <c r="E171" s="3"/>
      <c r="F171" s="3"/>
      <c r="G171" s="3"/>
      <c r="H171" s="3"/>
      <c r="I171" s="3"/>
      <c r="L171"/>
      <c r="M171"/>
      <c r="N171"/>
      <c r="O171"/>
      <c r="P171"/>
      <c r="Q171"/>
      <c r="R171"/>
    </row>
    <row r="172" spans="1:53">
      <c r="A172" s="291"/>
      <c r="B172" s="167"/>
      <c r="C172" s="168" t="s">
        <v>532</v>
      </c>
      <c r="D172" s="293"/>
      <c r="E172" s="392"/>
      <c r="F172" s="392"/>
      <c r="G172" s="392"/>
      <c r="H172" s="392"/>
      <c r="I172" s="392"/>
      <c r="L172"/>
      <c r="M172"/>
      <c r="N172"/>
      <c r="O172"/>
      <c r="P172"/>
      <c r="Q172"/>
      <c r="R172"/>
    </row>
    <row r="173" spans="1:53">
      <c r="A173" s="75"/>
      <c r="B173" s="82" t="s">
        <v>2</v>
      </c>
      <c r="C173" s="83" t="s">
        <v>468</v>
      </c>
      <c r="D173" s="173"/>
      <c r="E173" s="94">
        <f>IFERROR(IF(E18="","",ROUND(E175/SUM(E52,INDEX('Apoio - Regime de Trabalho'!$I:$I,MATCH(E26,'Apoio - Regime de Trabalho'!$A:$A,0))),2)),"")</f>
        <v>30.69</v>
      </c>
      <c r="F173" s="94">
        <f>IFERROR(IF(F18="","",ROUND(F175/SUM(F52,INDEX('Apoio - Regime de Trabalho'!$I:$I,MATCH(F26,'Apoio - Regime de Trabalho'!$A:$A,0))),2)),"")</f>
        <v>30.69</v>
      </c>
      <c r="G173" s="94">
        <f>IFERROR(IF(G18="","",ROUND(G175/SUM(G52,INDEX('Apoio - Regime de Trabalho'!$I:$I,MATCH(G26,'Apoio - Regime de Trabalho'!$A:$A,0))),2)),"")</f>
        <v>35.21</v>
      </c>
      <c r="H173" s="94">
        <f>IFERROR(IF(H18="","",ROUND(H175/SUM(H52,INDEX('Apoio - Regime de Trabalho'!$I:$I,MATCH(H26,'Apoio - Regime de Trabalho'!$A:$A,0))),2)),"")</f>
        <v>39.94</v>
      </c>
      <c r="I173" s="94" t="str">
        <f>IFERROR(IF(I18="","",I175/INDEX('Apoio - Regime de Trabalho'!$I:$I,MATCH(I26,'Apoio - Regime de Trabalho'!$A:$A,0))),"")</f>
        <v/>
      </c>
      <c r="L173"/>
      <c r="M173"/>
      <c r="N173"/>
      <c r="O173"/>
      <c r="P173"/>
      <c r="Q173"/>
      <c r="R173"/>
    </row>
    <row r="174" spans="1:53">
      <c r="A174" s="75"/>
      <c r="B174" s="82" t="s">
        <v>1</v>
      </c>
      <c r="C174" s="83" t="s">
        <v>472</v>
      </c>
      <c r="D174" s="173"/>
      <c r="E174" s="94">
        <f>IF(E18="","",ROUND(SUM(E61,E114,E123,E145,E150,E168)/INDEX('Apoio - Regime de Trabalho'!$G:$G,MATCH(E26,'Apoio - Regime de Trabalho'!$A:$A,0)),2))</f>
        <v>226.62</v>
      </c>
      <c r="F174" s="94">
        <f>IF(F18="","",ROUND(SUM(F61,F114,F123,F145,F150,F168)/INDEX('Apoio - Regime de Trabalho'!$G:$G,MATCH(F26,'Apoio - Regime de Trabalho'!$A:$A,0)),2))</f>
        <v>226.62</v>
      </c>
      <c r="G174" s="94">
        <f>IF(G18="","",ROUND(SUM(G61,G114,G123,G145,G150,G168)/INDEX('Apoio - Regime de Trabalho'!$G:$G,MATCH(G26,'Apoio - Regime de Trabalho'!$A:$A,0)),2))</f>
        <v>260</v>
      </c>
      <c r="H174" s="94">
        <f>IF(H18="","",ROUND(SUM(H61,H114,H123,H145,H150,H168)/INDEX('Apoio - Regime de Trabalho'!$G:$G,MATCH(H26,'Apoio - Regime de Trabalho'!$A:$A,0)),2))</f>
        <v>294.95</v>
      </c>
      <c r="I174" s="94" t="str">
        <f>IF(I18="","",I175/INDEX('Apoio - Regime de Trabalho'!$G:$G,MATCH(I26,'Apoio - Regime de Trabalho'!$A:$A,0)))</f>
        <v/>
      </c>
      <c r="L174"/>
      <c r="M174"/>
      <c r="N174"/>
      <c r="O174"/>
      <c r="P174"/>
      <c r="Q174"/>
      <c r="R174"/>
    </row>
    <row r="175" spans="1:53">
      <c r="A175" s="75"/>
      <c r="B175" s="82" t="s">
        <v>0</v>
      </c>
      <c r="C175" s="83" t="s">
        <v>535</v>
      </c>
      <c r="D175" s="173"/>
      <c r="E175" s="94">
        <f>IF(E18="","",ROUND(SUM(E61,E114,E123,E145,E150,E168),2))</f>
        <v>5892.24</v>
      </c>
      <c r="F175" s="94">
        <f t="shared" ref="F175:H175" si="56">IF(F18="","",ROUND(SUM(F61,F114,F123,F145,F150,F168),2))</f>
        <v>5892.24</v>
      </c>
      <c r="G175" s="94">
        <f t="shared" si="56"/>
        <v>6760.02</v>
      </c>
      <c r="H175" s="94">
        <f t="shared" si="56"/>
        <v>7668.68</v>
      </c>
      <c r="I175" s="94" t="str">
        <f>IF(I18="","",SUM(I61,I114,I123,I145,I150,I168))</f>
        <v/>
      </c>
      <c r="L175"/>
      <c r="M175"/>
      <c r="N175"/>
      <c r="O175"/>
      <c r="P175"/>
      <c r="Q175"/>
      <c r="R175"/>
    </row>
    <row r="176" spans="1:53">
      <c r="A176" s="75"/>
      <c r="B176" s="82" t="s">
        <v>3</v>
      </c>
      <c r="C176" s="83" t="s">
        <v>534</v>
      </c>
      <c r="D176" s="173"/>
      <c r="E176" s="94">
        <f>IFERROR(ROUND(E175*E28,2),"")</f>
        <v>5892.24</v>
      </c>
      <c r="F176" s="94">
        <f t="shared" ref="F176:H176" si="57">IFERROR(ROUND(F175*F28,2),"")</f>
        <v>5892.24</v>
      </c>
      <c r="G176" s="94">
        <f t="shared" si="57"/>
        <v>6760.02</v>
      </c>
      <c r="H176" s="94">
        <f t="shared" si="57"/>
        <v>7668.68</v>
      </c>
      <c r="I176" s="94" t="str">
        <f>IFERROR(I175*I28,"")</f>
        <v/>
      </c>
      <c r="L176"/>
      <c r="M176"/>
      <c r="N176"/>
      <c r="O176"/>
      <c r="P176"/>
      <c r="Q176"/>
      <c r="R176"/>
    </row>
    <row r="177" spans="1:53" ht="3.75" customHeight="1">
      <c r="A177" s="291"/>
      <c r="B177" s="3"/>
      <c r="C177" s="3"/>
      <c r="D177" s="3"/>
      <c r="E177" s="3"/>
      <c r="F177" s="3"/>
      <c r="G177" s="3"/>
      <c r="H177" s="3"/>
      <c r="I177" s="3"/>
      <c r="L177"/>
      <c r="M177"/>
      <c r="N177"/>
      <c r="O177"/>
      <c r="P177"/>
      <c r="Q177"/>
      <c r="R177"/>
    </row>
    <row r="178" spans="1:53">
      <c r="A178" s="291"/>
      <c r="B178" s="167"/>
      <c r="C178" s="168" t="s">
        <v>577</v>
      </c>
      <c r="D178" s="293"/>
      <c r="E178" s="392"/>
      <c r="F178" s="392"/>
      <c r="G178" s="392"/>
      <c r="H178" s="392"/>
      <c r="I178" s="392"/>
      <c r="L178"/>
      <c r="M178"/>
      <c r="N178"/>
      <c r="O178"/>
      <c r="P178"/>
      <c r="Q178"/>
      <c r="R178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>
      <c r="A179" s="75"/>
      <c r="B179" s="82" t="s">
        <v>2</v>
      </c>
      <c r="C179" s="83" t="s">
        <v>469</v>
      </c>
      <c r="D179" s="173"/>
      <c r="E179" s="94">
        <f>IFERROR(ROUND(SUM(E61,E114,E123,E145)*E29,2),"")</f>
        <v>0</v>
      </c>
      <c r="F179" s="94">
        <f t="shared" ref="F179:H179" si="58">IFERROR(ROUND(SUM(F61,F114,F123,F145)*F29,2),"")</f>
        <v>0</v>
      </c>
      <c r="G179" s="94">
        <f t="shared" si="58"/>
        <v>0</v>
      </c>
      <c r="H179" s="94">
        <f t="shared" si="58"/>
        <v>0</v>
      </c>
      <c r="I179" s="94" t="str">
        <f>IFERROR(SUM(I61,I114,I123,I145)*I29,"")</f>
        <v/>
      </c>
      <c r="L179"/>
      <c r="M179"/>
      <c r="N179"/>
      <c r="O179"/>
      <c r="P179"/>
      <c r="Q179"/>
      <c r="R179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>
      <c r="A180" s="75"/>
      <c r="B180" s="82" t="s">
        <v>1</v>
      </c>
      <c r="C180" s="83" t="s">
        <v>529</v>
      </c>
      <c r="D180" s="173"/>
      <c r="E180" s="94">
        <f>IFERROR(ROUND(E150*E29,2),"")</f>
        <v>0</v>
      </c>
      <c r="F180" s="94">
        <f t="shared" ref="F180:H180" si="59">IFERROR(ROUND(F150*F29,2),"")</f>
        <v>0</v>
      </c>
      <c r="G180" s="94">
        <f t="shared" si="59"/>
        <v>0</v>
      </c>
      <c r="H180" s="94">
        <f t="shared" si="59"/>
        <v>0</v>
      </c>
      <c r="I180" s="94" t="str">
        <f>IFERROR(I150*I29,"")</f>
        <v/>
      </c>
      <c r="L180"/>
      <c r="M180"/>
      <c r="N180"/>
      <c r="O180"/>
      <c r="P180"/>
      <c r="Q180"/>
      <c r="R180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>
      <c r="A181" s="76"/>
      <c r="B181" s="82" t="s">
        <v>0</v>
      </c>
      <c r="C181" s="83" t="s">
        <v>224</v>
      </c>
      <c r="D181" s="173"/>
      <c r="E181" s="94">
        <f>IFERROR(ROUND(E168*E29,2),"")</f>
        <v>0</v>
      </c>
      <c r="F181" s="94">
        <f t="shared" ref="F181:H181" si="60">IFERROR(ROUND(F168*F29,2),"")</f>
        <v>0</v>
      </c>
      <c r="G181" s="94">
        <f t="shared" si="60"/>
        <v>0</v>
      </c>
      <c r="H181" s="94">
        <f t="shared" si="60"/>
        <v>0</v>
      </c>
      <c r="I181" s="94" t="str">
        <f>IFERROR(I168*I29,"")</f>
        <v/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>
      <c r="A182" s="76"/>
      <c r="B182" s="82" t="s">
        <v>3</v>
      </c>
      <c r="C182" s="83" t="s">
        <v>576</v>
      </c>
      <c r="D182" s="173"/>
      <c r="E182" s="94">
        <f>IFERROR(ROUND((E179+E180+E181),2),"")</f>
        <v>0</v>
      </c>
      <c r="F182" s="94">
        <f t="shared" ref="F182:H182" si="61">IFERROR(ROUND((F179+F180+F181),2),"")</f>
        <v>0</v>
      </c>
      <c r="G182" s="94">
        <f t="shared" si="61"/>
        <v>0</v>
      </c>
      <c r="H182" s="94">
        <f t="shared" si="61"/>
        <v>0</v>
      </c>
      <c r="I182" s="94" t="str">
        <f>IFERROR(I179+I180+I181,"")</f>
        <v/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3.75" customHeight="1">
      <c r="A183" s="291"/>
      <c r="B183" s="3"/>
      <c r="C183" s="3"/>
      <c r="D183" s="3"/>
      <c r="E183" s="3"/>
      <c r="F183" s="3"/>
      <c r="G183" s="3"/>
      <c r="H183" s="3"/>
      <c r="I183" s="3"/>
      <c r="L183"/>
      <c r="M183"/>
      <c r="N183"/>
      <c r="O183"/>
      <c r="P183"/>
      <c r="Q183"/>
      <c r="R18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>
      <c r="A184" s="291"/>
      <c r="B184" s="167"/>
      <c r="C184" s="168" t="s">
        <v>533</v>
      </c>
      <c r="D184" s="293"/>
      <c r="E184" s="392"/>
      <c r="F184" s="392"/>
      <c r="G184" s="392"/>
      <c r="H184" s="392"/>
      <c r="I184" s="392"/>
      <c r="L184"/>
      <c r="M184"/>
      <c r="N184"/>
      <c r="O184"/>
      <c r="P184"/>
      <c r="Q184"/>
      <c r="R184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idden="1">
      <c r="A185" s="453"/>
      <c r="B185" s="186"/>
      <c r="C185" s="187"/>
      <c r="D185" s="293"/>
      <c r="E185" s="392">
        <f>IFERROR(IF(INDEX('Apoio - Regime de Trabalho'!$C:$C,MATCH(E26,'Apoio - Regime de Trabalho'!$A:$A,0))="Diária",0,1),"")</f>
        <v>1</v>
      </c>
      <c r="F185" s="392">
        <f>IFERROR(IF(INDEX('Apoio - Regime de Trabalho'!$C:$C,MATCH(F26,'Apoio - Regime de Trabalho'!$A:$A,0))="Diária",0,1),"")</f>
        <v>1</v>
      </c>
      <c r="G185" s="392">
        <f>IFERROR(IF(INDEX('Apoio - Regime de Trabalho'!$C:$C,MATCH(G26,'Apoio - Regime de Trabalho'!$A:$A,0))="Diária",0,1),"")</f>
        <v>1</v>
      </c>
      <c r="H185" s="392">
        <f>IFERROR(IF(INDEX('Apoio - Regime de Trabalho'!$C:$C,MATCH(H26,'Apoio - Regime de Trabalho'!$A:$A,0))="Diária",0,1),"")</f>
        <v>1</v>
      </c>
      <c r="I185" s="392" t="str">
        <f>IFERROR(IF(INDEX('Apoio - Regime de Trabalho'!$C:$C,MATCH(I26,'Apoio - Regime de Trabalho'!$A:$A,0))="Diária",0,1),"")</f>
        <v/>
      </c>
      <c r="L185"/>
      <c r="M185"/>
      <c r="N185"/>
      <c r="O185"/>
      <c r="P185"/>
      <c r="Q185"/>
      <c r="R185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idden="1">
      <c r="A186" s="453"/>
      <c r="B186" s="186"/>
      <c r="C186" s="187"/>
      <c r="D186" s="293"/>
      <c r="E186" s="392">
        <f>IF(E185=1,$D$12,1)</f>
        <v>12</v>
      </c>
      <c r="F186" s="392">
        <f t="shared" ref="F186:H186" si="62">IF(F185=1,$D$12,1)</f>
        <v>12</v>
      </c>
      <c r="G186" s="392">
        <f t="shared" si="62"/>
        <v>12</v>
      </c>
      <c r="H186" s="392">
        <f t="shared" si="62"/>
        <v>12</v>
      </c>
      <c r="I186" s="392">
        <f>IF(I185=1,$D$12,1)</f>
        <v>1</v>
      </c>
      <c r="L186"/>
      <c r="M186"/>
      <c r="N186"/>
      <c r="O186"/>
      <c r="P186"/>
      <c r="Q186"/>
      <c r="R186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>
      <c r="A187" s="76"/>
      <c r="B187" s="82" t="s">
        <v>2</v>
      </c>
      <c r="C187" s="83" t="s">
        <v>469</v>
      </c>
      <c r="D187" s="173"/>
      <c r="E187" s="94">
        <f>IFERROR(ROUND(E179*IF(VLOOKUP(E$26,'Apoio - Regime de Trabalho'!$A:$I,3,FALSE)="Diária",1,$D$12),2),"")</f>
        <v>0</v>
      </c>
      <c r="F187" s="94">
        <f>IFERROR(ROUND(F179*IF(VLOOKUP(F$26,'Apoio - Regime de Trabalho'!$A:$I,3,FALSE)="Diária",1,$D$12),2),"")</f>
        <v>0</v>
      </c>
      <c r="G187" s="94">
        <f>IFERROR(ROUND(G179*IF(VLOOKUP(G$26,'Apoio - Regime de Trabalho'!$A:$I,3,FALSE)="Diária",1,$D$12),2),"")</f>
        <v>0</v>
      </c>
      <c r="H187" s="94">
        <f>IFERROR(ROUND(H179*IF(VLOOKUP(H$26,'Apoio - Regime de Trabalho'!$A:$I,3,FALSE)="Diária",1,$D$12),2),"")</f>
        <v>0</v>
      </c>
      <c r="I187" s="94" t="str">
        <f>IFERROR(I179*IF(VLOOKUP(I$26,'Apoio - Regime de Trabalho'!$A:$I,3,FALSE)="Diária",1,$D$12),"")</f>
        <v/>
      </c>
      <c r="M187" s="410"/>
      <c r="N187" s="399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>
      <c r="A188" s="76"/>
      <c r="B188" s="82" t="s">
        <v>1</v>
      </c>
      <c r="C188" s="83" t="s">
        <v>529</v>
      </c>
      <c r="D188" s="173"/>
      <c r="E188" s="94">
        <f>IFERROR(ROUND(E180*IF(VLOOKUP(E$26,'Apoio - Regime de Trabalho'!$A:$I,3,FALSE)="Diária",1,$D$12),2),"")</f>
        <v>0</v>
      </c>
      <c r="F188" s="94">
        <f>IFERROR(ROUND(F180*IF(VLOOKUP(F$26,'Apoio - Regime de Trabalho'!$A:$I,3,FALSE)="Diária",1,$D$12),2),"")</f>
        <v>0</v>
      </c>
      <c r="G188" s="94">
        <f>IFERROR(ROUND(G180*IF(VLOOKUP(G$26,'Apoio - Regime de Trabalho'!$A:$I,3,FALSE)="Diária",1,$D$12),2),"")</f>
        <v>0</v>
      </c>
      <c r="H188" s="94">
        <f>IFERROR(ROUND(H180*IF(VLOOKUP(H$26,'Apoio - Regime de Trabalho'!$A:$I,3,FALSE)="Diária",1,$D$12),2),"")</f>
        <v>0</v>
      </c>
      <c r="I188" s="94" t="str">
        <f>IFERROR(I180*IF(VLOOKUP(I$26,'Apoio - Regime de Trabalho'!$A:$I,3,FALSE)="Diária",1,$D$12),"")</f>
        <v/>
      </c>
      <c r="M188" s="410"/>
      <c r="N188" s="399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>
      <c r="A189" s="76"/>
      <c r="B189" s="82" t="s">
        <v>0</v>
      </c>
      <c r="C189" s="83" t="s">
        <v>224</v>
      </c>
      <c r="D189" s="173"/>
      <c r="E189" s="94">
        <f>IFERROR(ROUND(E181*IF(VLOOKUP(E$26,'Apoio - Regime de Trabalho'!$A:$I,3,FALSE)="Diária",1,$D$12),2),"")</f>
        <v>0</v>
      </c>
      <c r="F189" s="94">
        <f>IFERROR(ROUND(F181*IF(VLOOKUP(F$26,'Apoio - Regime de Trabalho'!$A:$I,3,FALSE)="Diária",1,$D$12),2),"")</f>
        <v>0</v>
      </c>
      <c r="G189" s="94">
        <f>IFERROR(ROUND(G181*IF(VLOOKUP(G$26,'Apoio - Regime de Trabalho'!$A:$I,3,FALSE)="Diária",1,$D$12),2),"")</f>
        <v>0</v>
      </c>
      <c r="H189" s="94">
        <f>IFERROR(ROUND(H181*IF(VLOOKUP(H$26,'Apoio - Regime de Trabalho'!$A:$I,3,FALSE)="Diária",1,$D$12),2),"")</f>
        <v>0</v>
      </c>
      <c r="I189" s="94" t="str">
        <f>IFERROR(I181*IF(VLOOKUP(I$26,'Apoio - Regime de Trabalho'!$A:$I,3,FALSE)="Diária",1,$D$12),"")</f>
        <v/>
      </c>
      <c r="M189" s="410"/>
      <c r="N189" s="399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>
      <c r="A190" s="76"/>
      <c r="B190" s="82" t="s">
        <v>3</v>
      </c>
      <c r="C190" s="83" t="s">
        <v>530</v>
      </c>
      <c r="D190" s="173"/>
      <c r="E190" s="94">
        <f>IFERROR(ROUND(E182*IF(VLOOKUP(E$26,'Apoio - Regime de Trabalho'!$A:$I,3,FALSE)="Diária",1,$D$12),2),"")</f>
        <v>0</v>
      </c>
      <c r="F190" s="94">
        <f>IFERROR(ROUND(F182*IF(VLOOKUP(F$26,'Apoio - Regime de Trabalho'!$A:$I,3,FALSE)="Diária",1,$D$12),2),"")</f>
        <v>0</v>
      </c>
      <c r="G190" s="94">
        <f>IFERROR(ROUND(G182*IF(VLOOKUP(G$26,'Apoio - Regime de Trabalho'!$A:$I,3,FALSE)="Diária",1,$D$12),2),"")</f>
        <v>0</v>
      </c>
      <c r="H190" s="94">
        <f>IFERROR(ROUND(H182*IF(VLOOKUP(H$26,'Apoio - Regime de Trabalho'!$A:$I,3,FALSE)="Diária",1,$D$12),2),"")</f>
        <v>0</v>
      </c>
      <c r="I190" s="94"/>
      <c r="M190" s="410"/>
      <c r="N190" s="399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>
      <c r="F191" s="9"/>
      <c r="G191" s="9"/>
      <c r="H191" s="9"/>
      <c r="I191" s="9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>
      <c r="A192" s="291"/>
      <c r="B192" s="84"/>
      <c r="C192" s="85" t="s">
        <v>473</v>
      </c>
      <c r="D192" s="85"/>
      <c r="E192" s="85"/>
      <c r="F192" s="85"/>
      <c r="G192" s="85"/>
      <c r="H192" s="85"/>
      <c r="I192" s="85"/>
      <c r="L192" s="85"/>
      <c r="M192" s="85"/>
      <c r="N192" s="85"/>
      <c r="O192" s="260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3.75" customHeight="1">
      <c r="A193" s="291"/>
      <c r="B193" s="3"/>
      <c r="C193" s="3"/>
      <c r="D193" s="3"/>
      <c r="E193" s="3"/>
      <c r="F193" s="3"/>
      <c r="G193" s="3"/>
      <c r="H193" s="3"/>
      <c r="I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>
      <c r="A194" s="291"/>
      <c r="B194" s="167"/>
      <c r="C194" s="168" t="s">
        <v>492</v>
      </c>
      <c r="D194" s="294" t="s">
        <v>466</v>
      </c>
      <c r="E194" s="392"/>
      <c r="F194" s="392"/>
      <c r="G194" s="392"/>
      <c r="H194" s="392"/>
      <c r="I194" s="392"/>
      <c r="L194" s="392" t="s">
        <v>465</v>
      </c>
      <c r="M194" s="392" t="s">
        <v>458</v>
      </c>
      <c r="N194" s="392" t="s">
        <v>410</v>
      </c>
      <c r="O194" s="392" t="s">
        <v>497</v>
      </c>
      <c r="Q194" s="400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>
      <c r="A195" s="291"/>
      <c r="B195" s="411" t="s">
        <v>420</v>
      </c>
      <c r="C195" s="396" t="s">
        <v>449</v>
      </c>
      <c r="D195" s="403"/>
      <c r="E195" s="391" t="str">
        <f>IFERROR(ROUND((E$176/$D195),2),"")</f>
        <v/>
      </c>
      <c r="F195" s="391" t="str">
        <f>IFERROR(ROUND((F$176/$D195)*$F$27/$E$27,2),"")</f>
        <v/>
      </c>
      <c r="G195" s="391"/>
      <c r="H195" s="391"/>
      <c r="I195" s="391"/>
      <c r="K195" s="297" t="str">
        <f>IFERROR(1/D195,"")</f>
        <v/>
      </c>
      <c r="L195" s="407"/>
      <c r="M195" s="393">
        <f>SUM(E195:I195)</f>
        <v>0</v>
      </c>
      <c r="N195" s="393">
        <f>ROUND(L195*M195,2)</f>
        <v>0</v>
      </c>
      <c r="O195" s="393">
        <f>N195*$D$12</f>
        <v>0</v>
      </c>
      <c r="R195" s="405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>
      <c r="A196" s="291"/>
      <c r="B196" s="411" t="s">
        <v>421</v>
      </c>
      <c r="C196" s="396" t="s">
        <v>450</v>
      </c>
      <c r="D196" s="403"/>
      <c r="E196" s="391" t="str">
        <f t="shared" ref="E196:E201" si="63">IFERROR(ROUND((E$176/$D196),2),"")</f>
        <v/>
      </c>
      <c r="F196" s="391" t="str">
        <f t="shared" ref="F196:F201" si="64">IFERROR(ROUND((F$176/$D196)*$F$27/$E$27,2),"")</f>
        <v/>
      </c>
      <c r="G196" s="391"/>
      <c r="H196" s="391"/>
      <c r="I196" s="389"/>
      <c r="K196" s="297" t="str">
        <f t="shared" ref="K196:K220" si="65">IFERROR(1/D196,"")</f>
        <v/>
      </c>
      <c r="L196" s="406"/>
      <c r="M196" s="393">
        <f t="shared" ref="M196:M201" si="66">SUM(E196:I196)</f>
        <v>0</v>
      </c>
      <c r="N196" s="393">
        <f t="shared" ref="N196:N201" si="67">ROUND(L196*M196,2)</f>
        <v>0</v>
      </c>
      <c r="O196" s="393">
        <f t="shared" ref="O196:O201" si="68">N196*$D$12</f>
        <v>0</v>
      </c>
      <c r="Q196" s="405"/>
      <c r="R196" s="405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>
      <c r="A197" s="291"/>
      <c r="B197" s="411" t="s">
        <v>422</v>
      </c>
      <c r="C197" s="396" t="s">
        <v>451</v>
      </c>
      <c r="D197" s="403"/>
      <c r="E197" s="391" t="str">
        <f t="shared" si="63"/>
        <v/>
      </c>
      <c r="F197" s="391" t="str">
        <f t="shared" si="64"/>
        <v/>
      </c>
      <c r="G197" s="391"/>
      <c r="H197" s="391"/>
      <c r="I197" s="389"/>
      <c r="K197" s="297" t="str">
        <f t="shared" si="65"/>
        <v/>
      </c>
      <c r="L197" s="407"/>
      <c r="M197" s="393">
        <f t="shared" si="66"/>
        <v>0</v>
      </c>
      <c r="N197" s="393">
        <f t="shared" si="67"/>
        <v>0</v>
      </c>
      <c r="O197" s="393">
        <f t="shared" si="68"/>
        <v>0</v>
      </c>
      <c r="R197" s="405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>
      <c r="A198" s="291"/>
      <c r="B198" s="411" t="s">
        <v>423</v>
      </c>
      <c r="C198" s="396" t="s">
        <v>452</v>
      </c>
      <c r="D198" s="403"/>
      <c r="E198" s="391" t="str">
        <f t="shared" si="63"/>
        <v/>
      </c>
      <c r="F198" s="391" t="str">
        <f t="shared" si="64"/>
        <v/>
      </c>
      <c r="G198" s="391"/>
      <c r="H198" s="391"/>
      <c r="I198" s="389"/>
      <c r="K198" s="297" t="str">
        <f t="shared" si="65"/>
        <v/>
      </c>
      <c r="L198" s="406"/>
      <c r="M198" s="393">
        <f t="shared" si="66"/>
        <v>0</v>
      </c>
      <c r="N198" s="393">
        <f t="shared" si="67"/>
        <v>0</v>
      </c>
      <c r="O198" s="393">
        <f t="shared" si="68"/>
        <v>0</v>
      </c>
      <c r="R198" s="405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>
      <c r="A199" s="291"/>
      <c r="B199" s="411" t="s">
        <v>424</v>
      </c>
      <c r="C199" s="396" t="s">
        <v>447</v>
      </c>
      <c r="D199" s="403"/>
      <c r="E199" s="391" t="str">
        <f t="shared" si="63"/>
        <v/>
      </c>
      <c r="F199" s="391" t="str">
        <f t="shared" si="64"/>
        <v/>
      </c>
      <c r="G199" s="391"/>
      <c r="H199" s="391"/>
      <c r="I199" s="389"/>
      <c r="K199" s="297" t="str">
        <f t="shared" si="65"/>
        <v/>
      </c>
      <c r="L199" s="407"/>
      <c r="M199" s="393">
        <f t="shared" si="66"/>
        <v>0</v>
      </c>
      <c r="N199" s="393">
        <f t="shared" si="67"/>
        <v>0</v>
      </c>
      <c r="O199" s="393">
        <f t="shared" si="68"/>
        <v>0</v>
      </c>
      <c r="R199" s="405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>
      <c r="A200" s="291"/>
      <c r="B200" s="411" t="s">
        <v>489</v>
      </c>
      <c r="C200" s="398" t="s">
        <v>482</v>
      </c>
      <c r="D200" s="403"/>
      <c r="E200" s="391" t="str">
        <f t="shared" si="63"/>
        <v/>
      </c>
      <c r="F200" s="391" t="str">
        <f t="shared" si="64"/>
        <v/>
      </c>
      <c r="G200" s="391"/>
      <c r="H200" s="391"/>
      <c r="I200" s="389"/>
      <c r="K200" s="297" t="str">
        <f t="shared" si="65"/>
        <v/>
      </c>
      <c r="L200" s="406"/>
      <c r="M200" s="393">
        <f t="shared" si="66"/>
        <v>0</v>
      </c>
      <c r="N200" s="393">
        <f t="shared" si="67"/>
        <v>0</v>
      </c>
      <c r="O200" s="393">
        <f t="shared" si="68"/>
        <v>0</v>
      </c>
      <c r="R200" s="405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>
      <c r="A201" s="291"/>
      <c r="B201" s="411" t="s">
        <v>490</v>
      </c>
      <c r="C201" s="398" t="s">
        <v>483</v>
      </c>
      <c r="D201" s="403"/>
      <c r="E201" s="391" t="str">
        <f t="shared" si="63"/>
        <v/>
      </c>
      <c r="F201" s="391" t="str">
        <f t="shared" si="64"/>
        <v/>
      </c>
      <c r="G201" s="391"/>
      <c r="H201" s="391"/>
      <c r="I201" s="389"/>
      <c r="K201" s="297" t="str">
        <f t="shared" si="65"/>
        <v/>
      </c>
      <c r="L201" s="406"/>
      <c r="M201" s="393">
        <f t="shared" si="66"/>
        <v>0</v>
      </c>
      <c r="N201" s="393">
        <f t="shared" si="67"/>
        <v>0</v>
      </c>
      <c r="O201" s="393">
        <f t="shared" si="68"/>
        <v>0</v>
      </c>
      <c r="R201" s="405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3.75" customHeight="1">
      <c r="A202" s="291"/>
      <c r="B202" s="412"/>
      <c r="C202" s="397"/>
      <c r="D202" s="395"/>
      <c r="E202" s="391" t="str">
        <f t="shared" ref="E202" si="69">IFERROR(ROUND(E$176/$D202,2),"")</f>
        <v/>
      </c>
      <c r="F202" s="292"/>
      <c r="G202" s="292"/>
      <c r="H202" s="292"/>
      <c r="I202" s="292"/>
      <c r="K202" s="297" t="str">
        <f t="shared" si="65"/>
        <v/>
      </c>
      <c r="L202" s="408"/>
      <c r="M202" s="394"/>
      <c r="N202" s="394"/>
      <c r="O202" s="394"/>
      <c r="R202" s="405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>
      <c r="A203" s="291"/>
      <c r="B203" s="413"/>
      <c r="C203" s="168" t="s">
        <v>493</v>
      </c>
      <c r="D203" s="294" t="s">
        <v>466</v>
      </c>
      <c r="E203" s="392"/>
      <c r="F203" s="392"/>
      <c r="G203" s="392"/>
      <c r="H203" s="392"/>
      <c r="I203" s="392"/>
      <c r="K203" s="297" t="str">
        <f t="shared" si="65"/>
        <v/>
      </c>
      <c r="L203" s="409" t="s">
        <v>465</v>
      </c>
      <c r="M203" s="392" t="s">
        <v>458</v>
      </c>
      <c r="N203" s="392" t="s">
        <v>410</v>
      </c>
      <c r="O203" s="392" t="s">
        <v>497</v>
      </c>
      <c r="R203" s="405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>
      <c r="A204" s="291"/>
      <c r="B204" s="411" t="s">
        <v>426</v>
      </c>
      <c r="C204" s="396" t="s">
        <v>453</v>
      </c>
      <c r="D204" s="403"/>
      <c r="E204" s="391" t="str">
        <f>IFERROR(ROUND((E$176/$D204),2),"")</f>
        <v/>
      </c>
      <c r="F204" s="391" t="str">
        <f>IFERROR(ROUND((F$176/$D204)*($F$27/$E$27),2),"")</f>
        <v/>
      </c>
      <c r="G204" s="391"/>
      <c r="H204" s="391"/>
      <c r="I204" s="389"/>
      <c r="K204" s="297" t="str">
        <f t="shared" si="65"/>
        <v/>
      </c>
      <c r="L204" s="406"/>
      <c r="M204" s="393">
        <f t="shared" ref="M204:M209" si="70">SUM(E204:I204)</f>
        <v>0</v>
      </c>
      <c r="N204" s="393">
        <f t="shared" ref="N204:N209" si="71">ROUND(L204*M204,2)</f>
        <v>0</v>
      </c>
      <c r="O204" s="393">
        <f t="shared" ref="O204:O209" si="72">N204*$D$12</f>
        <v>0</v>
      </c>
      <c r="R204" s="405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>
      <c r="A205" s="291"/>
      <c r="B205" s="411" t="s">
        <v>427</v>
      </c>
      <c r="C205" s="396" t="s">
        <v>448</v>
      </c>
      <c r="D205" s="403"/>
      <c r="E205" s="391" t="str">
        <f t="shared" ref="E205:E209" si="73">IFERROR(ROUND((E$176/$D205),2),"")</f>
        <v/>
      </c>
      <c r="F205" s="391" t="str">
        <f t="shared" ref="F205:F209" si="74">IFERROR(ROUND((F$176/$D205)*($F$27/$E$27),2),"")</f>
        <v/>
      </c>
      <c r="G205" s="391"/>
      <c r="H205" s="391"/>
      <c r="I205" s="389"/>
      <c r="K205" s="297" t="str">
        <f t="shared" si="65"/>
        <v/>
      </c>
      <c r="L205" s="406"/>
      <c r="M205" s="393">
        <f t="shared" si="70"/>
        <v>0</v>
      </c>
      <c r="N205" s="393">
        <f t="shared" si="71"/>
        <v>0</v>
      </c>
      <c r="O205" s="393">
        <f t="shared" si="72"/>
        <v>0</v>
      </c>
      <c r="R205" s="405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>
      <c r="A206" s="291"/>
      <c r="B206" s="411" t="s">
        <v>428</v>
      </c>
      <c r="C206" s="396" t="s">
        <v>454</v>
      </c>
      <c r="D206" s="403"/>
      <c r="E206" s="391" t="str">
        <f t="shared" si="73"/>
        <v/>
      </c>
      <c r="F206" s="391" t="str">
        <f t="shared" si="74"/>
        <v/>
      </c>
      <c r="G206" s="391"/>
      <c r="H206" s="391"/>
      <c r="I206" s="391"/>
      <c r="K206" s="297" t="str">
        <f t="shared" si="65"/>
        <v/>
      </c>
      <c r="L206" s="406"/>
      <c r="M206" s="393">
        <f t="shared" si="70"/>
        <v>0</v>
      </c>
      <c r="N206" s="393">
        <f t="shared" si="71"/>
        <v>0</v>
      </c>
      <c r="O206" s="393">
        <f t="shared" si="72"/>
        <v>0</v>
      </c>
      <c r="R206" s="405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>
      <c r="A207" s="291"/>
      <c r="B207" s="411" t="s">
        <v>429</v>
      </c>
      <c r="C207" s="396" t="s">
        <v>455</v>
      </c>
      <c r="D207" s="403"/>
      <c r="E207" s="391" t="str">
        <f t="shared" si="73"/>
        <v/>
      </c>
      <c r="F207" s="391" t="str">
        <f t="shared" si="74"/>
        <v/>
      </c>
      <c r="G207" s="391"/>
      <c r="H207" s="391"/>
      <c r="I207" s="391"/>
      <c r="K207" s="297" t="str">
        <f t="shared" si="65"/>
        <v/>
      </c>
      <c r="L207" s="406"/>
      <c r="M207" s="393">
        <f t="shared" si="70"/>
        <v>0</v>
      </c>
      <c r="N207" s="393">
        <f t="shared" si="71"/>
        <v>0</v>
      </c>
      <c r="O207" s="393">
        <f t="shared" si="72"/>
        <v>0</v>
      </c>
      <c r="R207" s="405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>
      <c r="A208" s="291"/>
      <c r="B208" s="411" t="s">
        <v>430</v>
      </c>
      <c r="C208" s="396" t="s">
        <v>456</v>
      </c>
      <c r="D208" s="403"/>
      <c r="E208" s="391" t="str">
        <f t="shared" si="73"/>
        <v/>
      </c>
      <c r="F208" s="391" t="str">
        <f t="shared" si="74"/>
        <v/>
      </c>
      <c r="G208" s="391"/>
      <c r="H208" s="391"/>
      <c r="I208" s="391"/>
      <c r="K208" s="297" t="str">
        <f t="shared" si="65"/>
        <v/>
      </c>
      <c r="L208" s="406"/>
      <c r="M208" s="393">
        <f t="shared" si="70"/>
        <v>0</v>
      </c>
      <c r="N208" s="393">
        <f t="shared" si="71"/>
        <v>0</v>
      </c>
      <c r="O208" s="393">
        <f t="shared" si="72"/>
        <v>0</v>
      </c>
      <c r="R208" s="405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>
      <c r="A209" s="291"/>
      <c r="B209" s="411" t="s">
        <v>491</v>
      </c>
      <c r="C209" s="396" t="s">
        <v>457</v>
      </c>
      <c r="D209" s="403"/>
      <c r="E209" s="391" t="str">
        <f t="shared" si="73"/>
        <v/>
      </c>
      <c r="F209" s="391" t="str">
        <f t="shared" si="74"/>
        <v/>
      </c>
      <c r="G209" s="391"/>
      <c r="H209" s="391"/>
      <c r="I209" s="389"/>
      <c r="K209" s="297" t="str">
        <f t="shared" si="65"/>
        <v/>
      </c>
      <c r="L209" s="406"/>
      <c r="M209" s="393">
        <f t="shared" si="70"/>
        <v>0</v>
      </c>
      <c r="N209" s="393">
        <f t="shared" si="71"/>
        <v>0</v>
      </c>
      <c r="O209" s="393">
        <f t="shared" si="72"/>
        <v>0</v>
      </c>
      <c r="R209" s="405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3.75" customHeight="1">
      <c r="A210" s="291"/>
      <c r="B210" s="412"/>
      <c r="C210" s="397"/>
      <c r="D210" s="395"/>
      <c r="E210" s="292"/>
      <c r="F210" s="292"/>
      <c r="G210" s="292"/>
      <c r="H210" s="292"/>
      <c r="I210" s="292"/>
      <c r="K210" s="297" t="str">
        <f t="shared" si="65"/>
        <v/>
      </c>
      <c r="L210" s="408"/>
      <c r="M210" s="394"/>
      <c r="N210" s="394"/>
      <c r="O210" s="394"/>
      <c r="R210" s="405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>
      <c r="A211" s="291"/>
      <c r="B211" s="413"/>
      <c r="C211" s="168" t="s">
        <v>494</v>
      </c>
      <c r="D211" s="294" t="s">
        <v>466</v>
      </c>
      <c r="E211" s="392"/>
      <c r="F211" s="392"/>
      <c r="G211" s="392"/>
      <c r="H211" s="392"/>
      <c r="I211" s="392"/>
      <c r="K211" s="297" t="str">
        <f t="shared" si="65"/>
        <v/>
      </c>
      <c r="L211" s="409" t="s">
        <v>465</v>
      </c>
      <c r="M211" s="392" t="s">
        <v>458</v>
      </c>
      <c r="N211" s="392" t="s">
        <v>410</v>
      </c>
      <c r="O211" s="392" t="s">
        <v>497</v>
      </c>
      <c r="R211" s="405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>
      <c r="A212" s="291"/>
      <c r="B212" s="411" t="s">
        <v>431</v>
      </c>
      <c r="C212" s="398" t="s">
        <v>478</v>
      </c>
      <c r="D212" s="403"/>
      <c r="E212" s="391"/>
      <c r="F212" s="391"/>
      <c r="G212" s="391" t="str">
        <f>IFERROR(ROUND((G$176/$D212),2),"")</f>
        <v/>
      </c>
      <c r="H212" s="391" t="str">
        <f>IFERROR(ROUND((H$176/$D212)*($H$27/$G$27),2),"")</f>
        <v/>
      </c>
      <c r="I212" s="389"/>
      <c r="K212" s="297" t="str">
        <f t="shared" si="65"/>
        <v/>
      </c>
      <c r="L212" s="406"/>
      <c r="M212" s="393">
        <f>SUM(E212:I212)</f>
        <v>0</v>
      </c>
      <c r="N212" s="393">
        <f t="shared" ref="N212:N214" si="75">ROUND(L212*M212,2)</f>
        <v>0</v>
      </c>
      <c r="O212" s="393">
        <f t="shared" ref="O212:O214" si="76">N212*$D$12</f>
        <v>0</v>
      </c>
      <c r="R212" s="405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>
      <c r="A213" s="291"/>
      <c r="B213" s="411" t="s">
        <v>432</v>
      </c>
      <c r="C213" s="398" t="s">
        <v>479</v>
      </c>
      <c r="D213" s="403"/>
      <c r="E213" s="391" t="str">
        <f>IFERROR(ROUND((E$176/$D213),2),"")</f>
        <v/>
      </c>
      <c r="F213" s="391" t="str">
        <f>IFERROR(ROUND((F$176/$D213)*($F$27/$E$27),2),"")</f>
        <v/>
      </c>
      <c r="G213" s="391"/>
      <c r="H213" s="391"/>
      <c r="I213" s="389"/>
      <c r="K213" s="297" t="str">
        <f t="shared" si="65"/>
        <v/>
      </c>
      <c r="L213" s="406"/>
      <c r="M213" s="393">
        <f>SUM(E213:I213)</f>
        <v>0</v>
      </c>
      <c r="N213" s="393">
        <f t="shared" si="75"/>
        <v>0</v>
      </c>
      <c r="O213" s="393">
        <f t="shared" si="76"/>
        <v>0</v>
      </c>
      <c r="R213" s="405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>
      <c r="A214" s="291"/>
      <c r="B214" s="411" t="s">
        <v>484</v>
      </c>
      <c r="C214" s="398" t="s">
        <v>480</v>
      </c>
      <c r="D214" s="403"/>
      <c r="E214" s="391" t="str">
        <f>IFERROR(ROUND((E$176/$D214),2),"")</f>
        <v/>
      </c>
      <c r="F214" s="391" t="str">
        <f>IFERROR(ROUND((F$176/$D214)*($F$27/$E$27),2),"")</f>
        <v/>
      </c>
      <c r="G214" s="391"/>
      <c r="H214" s="391"/>
      <c r="I214" s="389"/>
      <c r="K214" s="297" t="str">
        <f t="shared" si="65"/>
        <v/>
      </c>
      <c r="L214" s="406"/>
      <c r="M214" s="393">
        <f>SUM(E214:I214)</f>
        <v>0</v>
      </c>
      <c r="N214" s="393">
        <f t="shared" si="75"/>
        <v>0</v>
      </c>
      <c r="O214" s="393">
        <f t="shared" si="76"/>
        <v>0</v>
      </c>
      <c r="R214" s="405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3.75" customHeight="1">
      <c r="A215" s="291"/>
      <c r="B215" s="412"/>
      <c r="C215" s="397"/>
      <c r="D215" s="395"/>
      <c r="E215" s="292"/>
      <c r="F215" s="292"/>
      <c r="G215" s="292"/>
      <c r="H215" s="292"/>
      <c r="I215" s="292"/>
      <c r="K215" s="297" t="str">
        <f t="shared" si="65"/>
        <v/>
      </c>
      <c r="L215" s="408"/>
      <c r="M215" s="394"/>
      <c r="N215" s="394"/>
      <c r="O215" s="394"/>
      <c r="R215" s="405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>
      <c r="A216" s="291"/>
      <c r="B216" s="413"/>
      <c r="C216" s="168" t="s">
        <v>495</v>
      </c>
      <c r="D216" s="294" t="s">
        <v>466</v>
      </c>
      <c r="E216" s="392"/>
      <c r="F216" s="392"/>
      <c r="G216" s="392"/>
      <c r="H216" s="392"/>
      <c r="I216" s="392"/>
      <c r="K216" s="297" t="str">
        <f t="shared" si="65"/>
        <v/>
      </c>
      <c r="L216" s="409" t="s">
        <v>465</v>
      </c>
      <c r="M216" s="392" t="s">
        <v>458</v>
      </c>
      <c r="N216" s="392" t="s">
        <v>410</v>
      </c>
      <c r="O216" s="392" t="s">
        <v>497</v>
      </c>
      <c r="R216" s="405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>
      <c r="A217" s="291"/>
      <c r="B217" s="411" t="s">
        <v>500</v>
      </c>
      <c r="C217" s="396" t="s">
        <v>463</v>
      </c>
      <c r="D217" s="403"/>
      <c r="E217" s="391"/>
      <c r="F217" s="391"/>
      <c r="G217" s="391" t="str">
        <f>IFERROR(ROUND((G$176/$D217),2),"")</f>
        <v/>
      </c>
      <c r="H217" s="391" t="str">
        <f>IFERROR(ROUND((H$176/$D217)*($H$27/$G$27),2),"")</f>
        <v/>
      </c>
      <c r="I217" s="389"/>
      <c r="K217" s="297" t="str">
        <f t="shared" si="65"/>
        <v/>
      </c>
      <c r="L217" s="406"/>
      <c r="M217" s="393">
        <f>SUM(E217:I217)</f>
        <v>0</v>
      </c>
      <c r="N217" s="393">
        <f>ROUND(L217*M217,2)</f>
        <v>0</v>
      </c>
      <c r="O217" s="393">
        <f>N217*$D$12</f>
        <v>0</v>
      </c>
      <c r="R217" s="405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3.75" customHeight="1">
      <c r="A218" s="291"/>
      <c r="B218" s="412"/>
      <c r="C218" s="397"/>
      <c r="D218" s="395"/>
      <c r="E218" s="292"/>
      <c r="F218" s="292"/>
      <c r="G218" s="292"/>
      <c r="H218" s="292"/>
      <c r="I218" s="292"/>
      <c r="K218" s="297" t="str">
        <f t="shared" si="65"/>
        <v/>
      </c>
      <c r="L218" s="408"/>
      <c r="M218" s="393"/>
      <c r="N218" s="394"/>
      <c r="O218" s="394"/>
      <c r="R218" s="405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>
      <c r="A219" s="291"/>
      <c r="B219" s="413"/>
      <c r="C219" s="168" t="s">
        <v>496</v>
      </c>
      <c r="D219" s="294" t="s">
        <v>466</v>
      </c>
      <c r="E219" s="392"/>
      <c r="F219" s="392"/>
      <c r="G219" s="392"/>
      <c r="H219" s="392"/>
      <c r="I219" s="392"/>
      <c r="K219" s="297" t="str">
        <f t="shared" si="65"/>
        <v/>
      </c>
      <c r="L219" s="409" t="s">
        <v>465</v>
      </c>
      <c r="M219" s="392" t="s">
        <v>458</v>
      </c>
      <c r="N219" s="392" t="s">
        <v>410</v>
      </c>
      <c r="O219" s="392" t="s">
        <v>497</v>
      </c>
      <c r="R219" s="405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>
      <c r="A220" s="291"/>
      <c r="B220" s="411" t="s">
        <v>501</v>
      </c>
      <c r="C220" s="396" t="s">
        <v>464</v>
      </c>
      <c r="D220" s="403"/>
      <c r="E220" s="391" t="str">
        <f>IFERROR(ROUND((E$176/$D220),2),"")</f>
        <v/>
      </c>
      <c r="F220" s="391" t="str">
        <f>IFERROR(ROUND((F$176/$D220)*($F$27/$E$27),2),"")</f>
        <v/>
      </c>
      <c r="G220" s="391"/>
      <c r="H220" s="391"/>
      <c r="I220" s="389"/>
      <c r="K220" s="297" t="str">
        <f t="shared" si="65"/>
        <v/>
      </c>
      <c r="L220" s="406"/>
      <c r="M220" s="393">
        <f>SUM(E220:I220)</f>
        <v>0</v>
      </c>
      <c r="N220" s="393">
        <f>ROUND(L220*M220,2)</f>
        <v>0</v>
      </c>
      <c r="O220" s="393">
        <f>N220*$D$12</f>
        <v>0</v>
      </c>
      <c r="R220" s="405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</sheetData>
  <sheetProtection algorithmName="SHA-512" hashValue="Mk7b+2s1Erxv/GsLgbT2X5rpkJ5Jv5QJfRl6UgV8JKb5OaMfzjHz2ZuWMl1Zr8piZJbMsrxY5TMxRs5b/+qEaw==" saltValue="V/45BtwYMBgye8bpaDXEMw==" spinCount="100000" sheet="1" objects="1" scenarios="1" formatCells="0" formatColumns="0" formatRows="0" insertColumns="0" autoFilter="0"/>
  <dataConsolidate link="1"/>
  <mergeCells count="27">
    <mergeCell ref="B108:B111"/>
    <mergeCell ref="B140:B142"/>
    <mergeCell ref="B162:B164"/>
    <mergeCell ref="B54:B58"/>
    <mergeCell ref="B78:B81"/>
    <mergeCell ref="B86:B91"/>
    <mergeCell ref="B92:B96"/>
    <mergeCell ref="B97:B100"/>
    <mergeCell ref="B103:B106"/>
    <mergeCell ref="B50:B53"/>
    <mergeCell ref="D10:E10"/>
    <mergeCell ref="D12:E12"/>
    <mergeCell ref="D11:E11"/>
    <mergeCell ref="D13:E13"/>
    <mergeCell ref="D14:E14"/>
    <mergeCell ref="D15:E15"/>
    <mergeCell ref="B33:B35"/>
    <mergeCell ref="B36:B39"/>
    <mergeCell ref="B40:B42"/>
    <mergeCell ref="B43:B46"/>
    <mergeCell ref="B47:B49"/>
    <mergeCell ref="D9:E9"/>
    <mergeCell ref="A2:I2"/>
    <mergeCell ref="D5:E5"/>
    <mergeCell ref="D6:E6"/>
    <mergeCell ref="D7:E7"/>
    <mergeCell ref="D8:E8"/>
  </mergeCells>
  <conditionalFormatting sqref="D5:D12 E18:I27 E34:I34 E37:I38 E41:I41 E44:I45 E59:I60 E87:I90 E93:I95 E98:I99 E104:I105 E141:I141 D195:D201 L195:L201 D204:D209 L204:L209 D212:D214 L212:L214 D217 L217 D220 L220">
    <cfRule type="expression" dxfId="10" priority="10">
      <formula>$H$5=1</formula>
    </cfRule>
  </conditionalFormatting>
  <conditionalFormatting sqref="D9:D10 D13:D15 E19:I24 E34:I34 E37:I38 E41:I41 E44:I45 E59:I60 D79:D80 E88:I90 E93:I95 E98:I99 E104:I105 D128:D136 E141:I141">
    <cfRule type="expression" dxfId="9" priority="11">
      <formula>$H$5=2</formula>
    </cfRule>
  </conditionalFormatting>
  <conditionalFormatting sqref="D15 E20:I20 E23:I24 E87:I87 E93:I93 E98:I98 E101:I102 E104:I104 E107:I107 E109:I109">
    <cfRule type="expression" dxfId="8" priority="7">
      <formula>$H$5=4</formula>
    </cfRule>
  </conditionalFormatting>
  <conditionalFormatting sqref="E163:H163">
    <cfRule type="expression" dxfId="7" priority="1">
      <formula>$H$5=1</formula>
    </cfRule>
  </conditionalFormatting>
  <conditionalFormatting sqref="E51:I52">
    <cfRule type="expression" dxfId="6" priority="3">
      <formula>$H$5=1</formula>
    </cfRule>
    <cfRule type="expression" dxfId="5" priority="4">
      <formula>$H$5=2</formula>
    </cfRule>
  </conditionalFormatting>
  <conditionalFormatting sqref="E163:I163">
    <cfRule type="expression" dxfId="4" priority="2">
      <formula>$H$5=2</formula>
    </cfRule>
  </conditionalFormatting>
  <dataValidations count="13">
    <dataValidation showInputMessage="1" sqref="D142 D164" xr:uid="{00000000-0002-0000-0100-000000000000}"/>
    <dataValidation type="list" allowBlank="1" showInputMessage="1" showErrorMessage="1" sqref="D56" xr:uid="{00000000-0002-0000-0100-000001000000}">
      <formula1>"Sim,Não"</formula1>
    </dataValidation>
    <dataValidation type="list" allowBlank="1" showInputMessage="1" showErrorMessage="1" sqref="I51" xr:uid="{00000000-0002-0000-0100-000002000000}">
      <formula1>"0%,50%,100%"</formula1>
    </dataValidation>
    <dataValidation type="list" showInputMessage="1" sqref="D139:D141 E141:I141" xr:uid="{00000000-0002-0000-0100-000003000000}">
      <formula1>"Indenização,Rendição,Não"</formula1>
    </dataValidation>
    <dataValidation type="whole" allowBlank="1" showInputMessage="1" showErrorMessage="1" errorTitle="Erro de entrada" error="Informar a duração do contrato em meses" sqref="D12:E12" xr:uid="{00000000-0002-0000-0100-000004000000}">
      <formula1>1</formula1>
      <formula2>360</formula2>
    </dataValidation>
    <dataValidation type="list" allowBlank="1" showInputMessage="1" sqref="D11:E11" xr:uid="{00000000-0002-0000-0100-000005000000}">
      <formula1>"Valor Global,Mês,Dia,Hora"</formula1>
    </dataValidation>
    <dataValidation type="list" allowBlank="1" showInputMessage="1" sqref="E21:I21" xr:uid="{00000000-0002-0000-0100-000006000000}">
      <formula1>"180,200,220"</formula1>
    </dataValidation>
    <dataValidation type="list" sqref="E34:I34" xr:uid="{00000000-0002-0000-0100-000007000000}">
      <formula1>"0%,30%"</formula1>
    </dataValidation>
    <dataValidation sqref="E40:I41 E43:I43 E47:I47 E50:I50 E54:I54 E33:I33 E36:I36" xr:uid="{00000000-0002-0000-0100-000008000000}"/>
    <dataValidation type="list" sqref="E37:I37" xr:uid="{00000000-0002-0000-0100-000009000000}">
      <formula1>"Salário Base, Salário Mínimo,Não incide"</formula1>
    </dataValidation>
    <dataValidation type="list" sqref="E38:I38" xr:uid="{00000000-0002-0000-0100-00000A000000}">
      <formula1>"0,10%,20%,40%"</formula1>
    </dataValidation>
    <dataValidation type="list" allowBlank="1" sqref="E38:I38" xr:uid="{00000000-0002-0000-0100-00000B000000}">
      <formula1>"0%,10%,20%,40%"</formula1>
    </dataValidation>
    <dataValidation type="list" allowBlank="1" sqref="E51:H51" xr:uid="{00000000-0002-0000-0100-00000C000000}">
      <formula1>"0%,50%,100%"</formula1>
    </dataValidation>
  </dataValidations>
  <hyperlinks>
    <hyperlink ref="C148" location="'Mat Individual e Uniformes func'!A1" display="Material Individual e Uniformes" xr:uid="{00000000-0004-0000-0100-000000000000}"/>
    <hyperlink ref="C149" location="'Mat Coletivo e Equipamentos'!A1" display="Material Coletivo e Equipamentos" xr:uid="{00000000-0004-0000-0100-000001000000}"/>
    <hyperlink ref="E24:H24" r:id="rId1" display="http://www3.mte.gov.br/sistemas/mediador/ConsultarInstColetivo" xr:uid="{00000000-0004-0000-0100-000002000000}"/>
  </hyperlinks>
  <pageMargins left="0.51181102362204722" right="0.51181102362204722" top="0.78740157480314965" bottom="0.78740157480314965" header="0.31496062992125984" footer="0.31496062992125984"/>
  <pageSetup paperSize="9" fitToHeight="20" orientation="portrait" r:id="rId2"/>
  <headerFooter>
    <oddFooter>&amp;R&amp;P/&amp;N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5" name="Group Box 1">
              <controlPr defaultSize="0" autoFill="0" autoPict="0">
                <anchor moveWithCells="1">
                  <from>
                    <xdr:col>5</xdr:col>
                    <xdr:colOff>323850</xdr:colOff>
                    <xdr:row>2</xdr:row>
                    <xdr:rowOff>238125</xdr:rowOff>
                  </from>
                  <to>
                    <xdr:col>6</xdr:col>
                    <xdr:colOff>1095375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6" name="Option Button 2">
              <controlPr defaultSize="0" autoFill="0" autoLine="0" autoPict="0" altText="Formação de Preços">
                <anchor>
                  <from>
                    <xdr:col>5</xdr:col>
                    <xdr:colOff>476250</xdr:colOff>
                    <xdr:row>4</xdr:row>
                    <xdr:rowOff>9525</xdr:rowOff>
                  </from>
                  <to>
                    <xdr:col>6</xdr:col>
                    <xdr:colOff>533400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7" name="Option Button 3">
              <controlPr defaultSize="0" autoFill="0" autoLine="0" autoPict="0">
                <anchor moveWithCells="1">
                  <from>
                    <xdr:col>5</xdr:col>
                    <xdr:colOff>476250</xdr:colOff>
                    <xdr:row>5</xdr:row>
                    <xdr:rowOff>123825</xdr:rowOff>
                  </from>
                  <to>
                    <xdr:col>6</xdr:col>
                    <xdr:colOff>533400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8" name="Option Button 4">
              <controlPr defaultSize="0" autoFill="0" autoLine="0" autoPict="0">
                <anchor moveWithCells="1">
                  <from>
                    <xdr:col>5</xdr:col>
                    <xdr:colOff>476250</xdr:colOff>
                    <xdr:row>8</xdr:row>
                    <xdr:rowOff>180975</xdr:rowOff>
                  </from>
                  <to>
                    <xdr:col>6</xdr:col>
                    <xdr:colOff>533400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9" name="Option Button 10">
              <controlPr defaultSize="0" autoFill="0" autoLine="0" autoPict="0" altText="Formação de Preços">
                <anchor>
                  <from>
                    <xdr:col>5</xdr:col>
                    <xdr:colOff>476250</xdr:colOff>
                    <xdr:row>7</xdr:row>
                    <xdr:rowOff>57150</xdr:rowOff>
                  </from>
                  <to>
                    <xdr:col>6</xdr:col>
                    <xdr:colOff>542925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D000000}">
          <x14:formula1>
            <xm:f>'Apoio - Posto'!#REF!</xm:f>
          </x14:formula1>
          <xm:sqref>G10:G11</xm:sqref>
        </x14:dataValidation>
        <x14:dataValidation type="list" allowBlank="1" showInputMessage="1" showErrorMessage="1" xr:uid="{00000000-0002-0000-0100-00000E000000}">
          <x14:formula1>
            <xm:f>'Apoio - Notas Explicativas'!$H$13:$K$13</xm:f>
          </x14:formula1>
          <xm:sqref>D13</xm:sqref>
        </x14:dataValidation>
        <x14:dataValidation type="list" allowBlank="1" xr:uid="{00000000-0002-0000-0100-00000F000000}">
          <x14:formula1>
            <xm:f>'Apoio - Dados'!$A:$A</xm:f>
          </x14:formula1>
          <xm:sqref>D5:E5</xm:sqref>
        </x14:dataValidation>
        <x14:dataValidation type="list" xr:uid="{00000000-0002-0000-0100-000010000000}">
          <x14:formula1>
            <xm:f>'Apoio - Posto'!$C:$C</xm:f>
          </x14:formula1>
          <xm:sqref>E22:I22</xm:sqref>
        </x14:dataValidation>
        <x14:dataValidation type="list" allowBlank="1" xr:uid="{00000000-0002-0000-0100-000011000000}">
          <x14:formula1>
            <xm:f>'Apoio - Posto'!$A:$A</xm:f>
          </x14:formula1>
          <xm:sqref>E18:I18</xm:sqref>
        </x14:dataValidation>
        <x14:dataValidation type="list" allowBlank="1" xr:uid="{00000000-0002-0000-0100-000012000000}">
          <x14:formula1>
            <xm:f>'Apoio - Posto'!$B:$B</xm:f>
          </x14:formula1>
          <xm:sqref>E19:I19</xm:sqref>
        </x14:dataValidation>
        <x14:dataValidation type="list" allowBlank="1" showInputMessage="1" showErrorMessage="1" xr:uid="{00000000-0002-0000-0100-000013000000}">
          <x14:formula1>
            <xm:f>'Apoio - Regime de Trabalho'!$A:$A</xm:f>
          </x14:formula1>
          <xm:sqref>E26:I26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0"/>
  <dimension ref="A1:AA96"/>
  <sheetViews>
    <sheetView showGridLines="0" workbookViewId="0">
      <selection activeCell="E84" sqref="E84"/>
    </sheetView>
  </sheetViews>
  <sheetFormatPr defaultRowHeight="15"/>
  <cols>
    <col min="1" max="1" width="1.85546875" customWidth="1"/>
    <col min="2" max="2" width="4.85546875" style="305" customWidth="1"/>
    <col min="3" max="3" width="49" style="32" customWidth="1"/>
    <col min="4" max="4" width="21.28515625" style="32" customWidth="1"/>
    <col min="5" max="6" width="19.7109375" style="33" customWidth="1"/>
    <col min="7" max="9" width="19.7109375" customWidth="1"/>
    <col min="11" max="11" width="12.140625" bestFit="1" customWidth="1"/>
  </cols>
  <sheetData>
    <row r="1" spans="1:27" ht="9.75" customHeight="1">
      <c r="B1" s="342"/>
      <c r="C1" s="42"/>
      <c r="D1" s="42"/>
      <c r="E1" s="43"/>
      <c r="F1" s="43"/>
    </row>
    <row r="2" spans="1:27" s="12" customFormat="1">
      <c r="A2" s="67"/>
      <c r="B2" s="84"/>
      <c r="C2" s="85" t="s">
        <v>231</v>
      </c>
      <c r="D2" s="86"/>
      <c r="E2" s="151" t="s">
        <v>435</v>
      </c>
      <c r="F2" s="151" t="s">
        <v>436</v>
      </c>
      <c r="G2" s="151" t="s">
        <v>437</v>
      </c>
      <c r="H2" s="151" t="s">
        <v>438</v>
      </c>
      <c r="I2" s="151" t="s">
        <v>439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7" s="3" customFormat="1">
      <c r="B3" s="319"/>
      <c r="C3" s="320" t="s">
        <v>334</v>
      </c>
      <c r="D3" s="325"/>
      <c r="E3" s="373"/>
      <c r="F3" s="374"/>
      <c r="G3" s="374"/>
      <c r="H3" s="374"/>
      <c r="I3" s="374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</row>
    <row r="4" spans="1:27">
      <c r="B4" s="321"/>
      <c r="C4" s="322" t="s">
        <v>324</v>
      </c>
      <c r="D4" s="120"/>
      <c r="E4" s="375"/>
      <c r="F4" s="375"/>
      <c r="G4" s="375"/>
      <c r="H4" s="375"/>
      <c r="I4" s="375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>
      <c r="B5" s="323"/>
      <c r="C5" s="324" t="s">
        <v>328</v>
      </c>
      <c r="D5" s="326"/>
      <c r="E5" s="376"/>
      <c r="F5" s="377"/>
      <c r="G5" s="377"/>
      <c r="H5" s="377"/>
      <c r="I5" s="37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>
      <c r="A6" s="36"/>
      <c r="C6" s="42"/>
      <c r="G6" s="33"/>
      <c r="H6" s="33"/>
      <c r="I6" s="3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12" customFormat="1">
      <c r="A7" s="67"/>
      <c r="B7" s="84"/>
      <c r="C7" s="85" t="s">
        <v>563</v>
      </c>
      <c r="D7" s="86"/>
      <c r="E7" s="368"/>
      <c r="F7" s="368"/>
      <c r="G7" s="368"/>
      <c r="H7" s="368"/>
      <c r="I7" s="368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</row>
    <row r="8" spans="1:27">
      <c r="B8" s="913" t="s">
        <v>420</v>
      </c>
      <c r="C8" s="310" t="s">
        <v>320</v>
      </c>
      <c r="D8" s="311"/>
      <c r="E8" s="313"/>
      <c r="F8" s="313"/>
      <c r="G8" s="313"/>
      <c r="H8" s="313"/>
      <c r="I8" s="31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>
      <c r="B9" s="914"/>
      <c r="C9" s="337" t="s">
        <v>316</v>
      </c>
      <c r="D9" s="331"/>
      <c r="E9" s="425"/>
      <c r="F9" s="425"/>
      <c r="G9" s="425"/>
      <c r="H9" s="425"/>
      <c r="I9" s="425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>
      <c r="B10" s="914"/>
      <c r="C10" s="338" t="s">
        <v>317</v>
      </c>
      <c r="D10" s="332"/>
      <c r="E10" s="426"/>
      <c r="F10" s="426"/>
      <c r="G10" s="426"/>
      <c r="H10" s="426"/>
      <c r="I10" s="426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>
      <c r="B11" s="914"/>
      <c r="C11" s="338" t="s">
        <v>318</v>
      </c>
      <c r="D11" s="332"/>
      <c r="E11" s="427"/>
      <c r="F11" s="427"/>
      <c r="G11" s="427"/>
      <c r="H11" s="427"/>
      <c r="I11" s="427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>
      <c r="B12" s="915"/>
      <c r="C12" s="312"/>
      <c r="D12" s="312" t="s">
        <v>43</v>
      </c>
      <c r="E12" s="364" t="str">
        <f>IFERROR(E5*E11/E9,"")</f>
        <v/>
      </c>
      <c r="F12" s="364" t="str">
        <f t="shared" ref="F12:I12" si="0">IFERROR(F5*F11/F9,"")</f>
        <v/>
      </c>
      <c r="G12" s="364" t="str">
        <f t="shared" si="0"/>
        <v/>
      </c>
      <c r="H12" s="364" t="str">
        <f t="shared" si="0"/>
        <v/>
      </c>
      <c r="I12" s="364" t="str">
        <f t="shared" si="0"/>
        <v/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>
      <c r="B13" s="917" t="s">
        <v>421</v>
      </c>
      <c r="C13" s="339" t="s">
        <v>319</v>
      </c>
      <c r="D13" s="333"/>
      <c r="E13" s="314"/>
      <c r="F13" s="314"/>
      <c r="G13" s="314"/>
      <c r="H13" s="314"/>
      <c r="I13" s="314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>
      <c r="B14" s="912"/>
      <c r="C14" s="340" t="s">
        <v>332</v>
      </c>
      <c r="D14" s="334"/>
      <c r="E14" s="428"/>
      <c r="F14" s="428"/>
      <c r="G14" s="428"/>
      <c r="H14" s="428"/>
      <c r="I14" s="42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>
      <c r="B15" s="912"/>
      <c r="C15" s="219" t="s">
        <v>333</v>
      </c>
      <c r="D15" s="335"/>
      <c r="E15" s="429"/>
      <c r="F15" s="429"/>
      <c r="G15" s="429"/>
      <c r="H15" s="429"/>
      <c r="I15" s="42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>
      <c r="B16" s="912"/>
      <c r="C16" s="219" t="s">
        <v>16</v>
      </c>
      <c r="D16" s="336"/>
      <c r="E16" s="430"/>
      <c r="F16" s="430"/>
      <c r="G16" s="430"/>
      <c r="H16" s="430"/>
      <c r="I16" s="43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2:27">
      <c r="B17" s="916"/>
      <c r="C17" s="312"/>
      <c r="D17" s="312" t="s">
        <v>43</v>
      </c>
      <c r="E17" s="363" t="str">
        <f>IFERROR(IF(E3="","",E16*E14*E5/E15),"")</f>
        <v/>
      </c>
      <c r="F17" s="363" t="str">
        <f t="shared" ref="F17:I17" si="1">IFERROR(IF(F3="","",F16*F14*F5/F15),"")</f>
        <v/>
      </c>
      <c r="G17" s="363" t="str">
        <f t="shared" si="1"/>
        <v/>
      </c>
      <c r="H17" s="363" t="str">
        <f t="shared" si="1"/>
        <v/>
      </c>
      <c r="I17" s="363" t="str">
        <f t="shared" si="1"/>
        <v/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2:27">
      <c r="B18" s="912" t="s">
        <v>422</v>
      </c>
      <c r="C18" s="362" t="s">
        <v>419</v>
      </c>
      <c r="D18" s="365"/>
      <c r="E18" s="366"/>
      <c r="F18" s="366"/>
      <c r="G18" s="366"/>
      <c r="H18" s="366"/>
      <c r="I18" s="366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2:27">
      <c r="B19" s="912"/>
      <c r="C19" s="219" t="s">
        <v>333</v>
      </c>
      <c r="D19" s="628"/>
      <c r="E19" s="429"/>
      <c r="F19" s="429"/>
      <c r="G19" s="429"/>
      <c r="H19" s="429"/>
      <c r="I19" s="42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2:27">
      <c r="B20" s="912"/>
      <c r="C20" s="219" t="s">
        <v>425</v>
      </c>
      <c r="D20" s="336"/>
      <c r="E20" s="440"/>
      <c r="F20" s="440"/>
      <c r="G20" s="440"/>
      <c r="H20" s="440"/>
      <c r="I20" s="44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2:27">
      <c r="B21" s="916"/>
      <c r="C21" s="312"/>
      <c r="D21" s="312" t="s">
        <v>43</v>
      </c>
      <c r="E21" s="363" t="str">
        <f>IFERROR(IF(E3="","",E20*E5/E19),"")</f>
        <v/>
      </c>
      <c r="F21" s="363" t="str">
        <f t="shared" ref="F21:I21" si="2">IFERROR(IF(F3="","",F20*F5/F19),"")</f>
        <v/>
      </c>
      <c r="G21" s="363" t="str">
        <f t="shared" si="2"/>
        <v/>
      </c>
      <c r="H21" s="363" t="str">
        <f t="shared" si="2"/>
        <v/>
      </c>
      <c r="I21" s="363" t="str">
        <f t="shared" si="2"/>
        <v/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2:27">
      <c r="B22" s="918" t="s">
        <v>423</v>
      </c>
      <c r="C22" s="362" t="s">
        <v>321</v>
      </c>
      <c r="D22" s="365"/>
      <c r="E22" s="366"/>
      <c r="F22" s="366"/>
      <c r="G22" s="366"/>
      <c r="H22" s="366"/>
      <c r="I22" s="366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2:27">
      <c r="B23" s="919"/>
      <c r="C23" s="327" t="s">
        <v>322</v>
      </c>
      <c r="D23" s="328"/>
      <c r="E23" s="431"/>
      <c r="F23" s="431"/>
      <c r="G23" s="431"/>
      <c r="H23" s="431"/>
      <c r="I23" s="43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2:27">
      <c r="B24" s="919"/>
      <c r="C24" s="329" t="s">
        <v>15</v>
      </c>
      <c r="D24" s="330"/>
      <c r="E24" s="432"/>
      <c r="F24" s="432"/>
      <c r="G24" s="432"/>
      <c r="H24" s="432"/>
      <c r="I24" s="432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2:27">
      <c r="B25" s="919"/>
      <c r="C25" s="219" t="s">
        <v>549</v>
      </c>
      <c r="D25" s="336"/>
      <c r="E25" s="429"/>
      <c r="F25" s="429"/>
      <c r="G25" s="429"/>
      <c r="H25" s="429"/>
      <c r="I25" s="42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2:27">
      <c r="B26" s="920"/>
      <c r="C26" s="312"/>
      <c r="D26" s="312" t="s">
        <v>43</v>
      </c>
      <c r="E26" s="363" t="str">
        <f>IFERROR((E23*E24*E5/E25),"")</f>
        <v/>
      </c>
      <c r="F26" s="363" t="str">
        <f>IFERROR((F23*F24*F5/F25),"")</f>
        <v/>
      </c>
      <c r="G26" s="363" t="str">
        <f>IFERROR((G23*G24*G5/G25),"")</f>
        <v/>
      </c>
      <c r="H26" s="363" t="str">
        <f>IFERROR((H23*H24*H5/H25),"")</f>
        <v/>
      </c>
      <c r="I26" s="363" t="str">
        <f>IFERROR((I23*I24*I5/I25),"")</f>
        <v/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2:27">
      <c r="B27" s="918" t="s">
        <v>424</v>
      </c>
      <c r="C27" s="310" t="s">
        <v>14</v>
      </c>
      <c r="D27" s="345"/>
      <c r="E27" s="313"/>
      <c r="F27" s="313"/>
      <c r="G27" s="313"/>
      <c r="H27" s="313"/>
      <c r="I27" s="31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2:27">
      <c r="B28" s="919"/>
      <c r="C28" s="337" t="s">
        <v>408</v>
      </c>
      <c r="D28" s="346"/>
      <c r="E28" s="433"/>
      <c r="F28" s="433"/>
      <c r="G28" s="433"/>
      <c r="H28" s="433"/>
      <c r="I28" s="43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>
      <c r="B29" s="919"/>
      <c r="C29" s="626" t="s">
        <v>329</v>
      </c>
      <c r="D29" s="347"/>
      <c r="E29" s="434"/>
      <c r="F29" s="434"/>
      <c r="G29" s="434"/>
      <c r="H29" s="434"/>
      <c r="I29" s="43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2:27">
      <c r="B30" s="919"/>
      <c r="C30" s="627" t="s">
        <v>575</v>
      </c>
      <c r="D30" s="348"/>
      <c r="E30" s="435"/>
      <c r="F30" s="435"/>
      <c r="G30" s="435"/>
      <c r="H30" s="435"/>
      <c r="I30" s="435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2:27">
      <c r="B31" s="919"/>
      <c r="C31" s="627" t="s">
        <v>575</v>
      </c>
      <c r="D31" s="341"/>
      <c r="E31" s="426"/>
      <c r="F31" s="426"/>
      <c r="G31" s="426"/>
      <c r="H31" s="426"/>
      <c r="I31" s="426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2:27">
      <c r="B32" s="919"/>
      <c r="C32" s="344" t="s">
        <v>325</v>
      </c>
      <c r="D32" s="343"/>
      <c r="E32" s="426" t="str">
        <f>IF(E3="","",SUM(E29:E31))</f>
        <v/>
      </c>
      <c r="F32" s="426" t="str">
        <f>IF(F3="","",SUM(F29:F31))</f>
        <v/>
      </c>
      <c r="G32" s="426" t="str">
        <f>IF(G3="","",SUM(G29:G31))</f>
        <v/>
      </c>
      <c r="H32" s="426" t="str">
        <f>IF(H3="","",SUM(H29:H31))</f>
        <v/>
      </c>
      <c r="I32" s="426" t="str">
        <f>IF(I3="","",SUM(I29:I31))</f>
        <v/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>
      <c r="B33" s="920"/>
      <c r="C33" s="312"/>
      <c r="D33" s="312" t="s">
        <v>43</v>
      </c>
      <c r="E33" s="367" t="str">
        <f>IF(E3="","",E28*E32/12)</f>
        <v/>
      </c>
      <c r="F33" s="367" t="str">
        <f>IF(F3="","",F28*F32/12)</f>
        <v/>
      </c>
      <c r="G33" s="367" t="str">
        <f>IF(G3="","",G28*G32/12)</f>
        <v/>
      </c>
      <c r="H33" s="367" t="str">
        <f>IF(H3="","",H28*H32/12)</f>
        <v/>
      </c>
      <c r="I33" s="367" t="str">
        <f>IF(I3="","",I28*I32/12)</f>
        <v/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12" customFormat="1">
      <c r="A34" s="67"/>
      <c r="B34" s="84"/>
      <c r="C34" s="86" t="s">
        <v>564</v>
      </c>
      <c r="D34" s="86"/>
      <c r="E34" s="368" t="str">
        <f>IF(E3="","",SUM(E12,E17,E21,E26,E33))</f>
        <v/>
      </c>
      <c r="F34" s="368" t="str">
        <f>IF(F3="","",SUM(F12,F17,F21,F26,F33))</f>
        <v/>
      </c>
      <c r="G34" s="368" t="str">
        <f>IF(G3="","",SUM(G12,G17,G21,G26,G33))</f>
        <v/>
      </c>
      <c r="H34" s="368" t="str">
        <f>IF(H3="","",SUM(H12,H17,H21,H26,H33))</f>
        <v/>
      </c>
      <c r="I34" s="368" t="str">
        <f>IF(I3="","",SUM(I12,I17,I21,I26,I33))</f>
        <v/>
      </c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</row>
    <row r="35" spans="1:27">
      <c r="A35" s="36"/>
      <c r="C35" s="34"/>
      <c r="D35" s="35"/>
      <c r="G35" s="33"/>
      <c r="H35" s="33"/>
      <c r="I35" s="33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s="12" customFormat="1">
      <c r="A36" s="67"/>
      <c r="B36" s="84"/>
      <c r="C36" s="85" t="s">
        <v>565</v>
      </c>
      <c r="D36" s="86"/>
      <c r="E36" s="368"/>
      <c r="F36" s="368"/>
      <c r="G36" s="368"/>
      <c r="H36" s="368"/>
      <c r="I36" s="368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</row>
    <row r="37" spans="1:27">
      <c r="B37" s="315" t="s">
        <v>426</v>
      </c>
      <c r="C37" s="316" t="s">
        <v>13</v>
      </c>
      <c r="D37" s="443">
        <v>0.01</v>
      </c>
      <c r="E37" s="317" t="str">
        <f>IF(E3="","",E29*$D$37/Resumo!$J$6)</f>
        <v/>
      </c>
      <c r="F37" s="317" t="str">
        <f>IF(F3="","",F29*$D$37/Resumo!$J$6)</f>
        <v/>
      </c>
      <c r="G37" s="317" t="str">
        <f>IF(G3="","",G29*$D$37/Resumo!$J$6)</f>
        <v/>
      </c>
      <c r="H37" s="317" t="str">
        <f>IF(H3="","",H29*$D$37/Resumo!$J$6)</f>
        <v/>
      </c>
      <c r="I37" s="317" t="str">
        <f>IF(I3="","",I29*$D$37/Resumo!$J$6)</f>
        <v/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>
      <c r="B38" s="315" t="s">
        <v>427</v>
      </c>
      <c r="C38" s="316" t="s">
        <v>12</v>
      </c>
      <c r="D38" s="444">
        <v>286.94</v>
      </c>
      <c r="E38" s="317" t="str">
        <f>IF(E$3="","",$D$38/Resumo!$J$6)</f>
        <v/>
      </c>
      <c r="F38" s="317" t="str">
        <f>IF(F$3="","",$D$38/Resumo!$J$6)</f>
        <v/>
      </c>
      <c r="G38" s="317" t="str">
        <f>IF(G$3="","",$D$38/Resumo!$J$6)</f>
        <v/>
      </c>
      <c r="H38" s="317" t="str">
        <f>IF(H$3="","",$D$38/Resumo!$J$6)</f>
        <v/>
      </c>
      <c r="I38" s="317" t="str">
        <f>IF(I$3="","",$D$38/Resumo!$J$6)</f>
        <v/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>
      <c r="B39" s="921" t="s">
        <v>428</v>
      </c>
      <c r="C39" s="310" t="s">
        <v>11</v>
      </c>
      <c r="D39" s="445"/>
      <c r="E39" s="313"/>
      <c r="F39" s="313"/>
      <c r="G39" s="313"/>
      <c r="H39" s="313"/>
      <c r="I39" s="313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>
      <c r="B40" s="922"/>
      <c r="C40" s="327" t="s">
        <v>539</v>
      </c>
      <c r="D40" s="446"/>
      <c r="E40" s="458"/>
      <c r="F40" s="458"/>
      <c r="G40" s="458"/>
      <c r="H40" s="458"/>
      <c r="I40" s="45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>
      <c r="B41" s="922"/>
      <c r="C41" s="344" t="s">
        <v>540</v>
      </c>
      <c r="D41" s="459">
        <v>73.44</v>
      </c>
      <c r="E41" s="426" t="str">
        <f>IF(E3="","",$D$41)</f>
        <v/>
      </c>
      <c r="F41" s="426" t="str">
        <f>IF(F3="","",$D$41)</f>
        <v/>
      </c>
      <c r="G41" s="426" t="str">
        <f>IF(G3="","",$D$41)</f>
        <v/>
      </c>
      <c r="H41" s="426" t="str">
        <f>IF(H3="","",$D$41)</f>
        <v/>
      </c>
      <c r="I41" s="426" t="str">
        <f>IF(I3="","",$D$41)</f>
        <v/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>
      <c r="B42" s="923"/>
      <c r="C42" s="312"/>
      <c r="D42" s="312" t="s">
        <v>43</v>
      </c>
      <c r="E42" s="460" t="str">
        <f>IF(E$3="","",E40*E41/Resumo!$J$6)</f>
        <v/>
      </c>
      <c r="F42" s="460" t="str">
        <f>IF(F$3="","",F40*F41/Resumo!$J$6)</f>
        <v/>
      </c>
      <c r="G42" s="460" t="str">
        <f>IF(G$3="","",G40*G41/Resumo!$J$6)</f>
        <v/>
      </c>
      <c r="H42" s="460" t="str">
        <f>IF(H$3="","",H40*H41/Resumo!$J$6)</f>
        <v/>
      </c>
      <c r="I42" s="460" t="str">
        <f>IF(I$3="","",I40*I41/Resumo!$J$6)</f>
        <v/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>
      <c r="B43" s="315" t="s">
        <v>429</v>
      </c>
      <c r="C43" s="316" t="s">
        <v>10</v>
      </c>
      <c r="D43" s="443">
        <v>0.02</v>
      </c>
      <c r="E43" s="317" t="str">
        <f>IF(E3="","",E32*$D$43/Resumo!$J$6)</f>
        <v/>
      </c>
      <c r="F43" s="317" t="str">
        <f>IF(F3="","",F32*$D$43/Resumo!$J$6)</f>
        <v/>
      </c>
      <c r="G43" s="317" t="str">
        <f>IF(G3="","",G32*$D$43/Resumo!$J$6)</f>
        <v/>
      </c>
      <c r="H43" s="317" t="str">
        <f>IF(H3="","",H32*$D$43/Resumo!$J$6)</f>
        <v/>
      </c>
      <c r="I43" s="317" t="str">
        <f>IF(I3="","",I32*$D$43/Resumo!$J$6)</f>
        <v/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>
      <c r="B44" s="921" t="s">
        <v>430</v>
      </c>
      <c r="C44" s="310" t="s">
        <v>9</v>
      </c>
      <c r="D44" s="445"/>
      <c r="E44" s="313"/>
      <c r="F44" s="313"/>
      <c r="G44" s="313"/>
      <c r="H44" s="313"/>
      <c r="I44" s="313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>
      <c r="B45" s="922"/>
      <c r="C45" s="327" t="s">
        <v>327</v>
      </c>
      <c r="D45" s="446"/>
      <c r="E45" s="436"/>
      <c r="F45" s="436"/>
      <c r="G45" s="436"/>
      <c r="H45" s="436"/>
      <c r="I45" s="436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>
      <c r="B46" s="922"/>
      <c r="C46" s="344" t="s">
        <v>326</v>
      </c>
      <c r="D46" s="447"/>
      <c r="E46" s="426"/>
      <c r="F46" s="426"/>
      <c r="G46" s="426"/>
      <c r="H46" s="426"/>
      <c r="I46" s="426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>
      <c r="B47" s="923"/>
      <c r="C47" s="312"/>
      <c r="D47" s="312" t="s">
        <v>43</v>
      </c>
      <c r="E47" s="367" t="str">
        <f>IF(E3="","",IFERROR((E45/Resumo!$J$6)+E46,0))</f>
        <v/>
      </c>
      <c r="F47" s="367" t="str">
        <f>IF(F3="","",IFERROR((F45/Resumo!$J$6)+F46,0))</f>
        <v/>
      </c>
      <c r="G47" s="367" t="str">
        <f>IF(G3="","",IFERROR((G45/Resumo!$J$6)+G46,0))</f>
        <v/>
      </c>
      <c r="H47" s="367" t="str">
        <f>IF(H3="","",IFERROR((H45/Resumo!$J$6)+H46,0))</f>
        <v/>
      </c>
      <c r="I47" s="367" t="str">
        <f>IF(I3="","",IFERROR((I45/Resumo!$J$6)+I46,0))</f>
        <v/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12" customFormat="1">
      <c r="A48" s="67"/>
      <c r="B48" s="84"/>
      <c r="C48" s="86" t="s">
        <v>566</v>
      </c>
      <c r="D48" s="86"/>
      <c r="E48" s="368" t="str">
        <f>IF(E3="","",SUM(E37,E38,E42,E43,E47))</f>
        <v/>
      </c>
      <c r="F48" s="368" t="str">
        <f>IF(F3="","",SUM(F37,F38,F42,F43,F47))</f>
        <v/>
      </c>
      <c r="G48" s="368" t="str">
        <f>IF(G3="","",SUM(G37,G38,G42,G43,G47))</f>
        <v/>
      </c>
      <c r="H48" s="368" t="str">
        <f>IF(H3="","",SUM(H37,H38,H42,H43,H47))</f>
        <v/>
      </c>
      <c r="I48" s="368" t="str">
        <f>IF(I3="","",SUM(I37,I38,I42,I43,I47))</f>
        <v/>
      </c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</row>
    <row r="49" spans="1:27">
      <c r="A49" s="36"/>
      <c r="C49" s="34"/>
      <c r="D49" s="35"/>
      <c r="G49" s="33"/>
      <c r="H49" s="33"/>
      <c r="I49" s="33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s="12" customFormat="1">
      <c r="A50" s="67"/>
      <c r="B50" s="84"/>
      <c r="C50" s="85" t="s">
        <v>567</v>
      </c>
      <c r="D50" s="86"/>
      <c r="E50" s="368"/>
      <c r="F50" s="368"/>
      <c r="G50" s="368"/>
      <c r="H50" s="368"/>
      <c r="I50" s="368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</row>
    <row r="51" spans="1:27">
      <c r="B51" s="924" t="s">
        <v>431</v>
      </c>
      <c r="C51" s="310" t="s">
        <v>323</v>
      </c>
      <c r="D51" s="437">
        <f>IFERROR(($D$53)/D52,"")</f>
        <v>6.6666666666666671E-3</v>
      </c>
      <c r="E51" s="313"/>
      <c r="F51" s="313"/>
      <c r="G51" s="313"/>
      <c r="H51" s="313"/>
      <c r="I51" s="313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>
      <c r="B52" s="925"/>
      <c r="C52" s="327" t="s">
        <v>59</v>
      </c>
      <c r="D52" s="438">
        <v>60</v>
      </c>
      <c r="E52" s="436"/>
      <c r="F52" s="436"/>
      <c r="G52" s="436"/>
      <c r="H52" s="436"/>
      <c r="I52" s="436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>
      <c r="B53" s="925"/>
      <c r="C53" s="344" t="s">
        <v>523</v>
      </c>
      <c r="D53" s="439">
        <v>0.4</v>
      </c>
      <c r="E53" s="426" t="str">
        <f>IF(E3="","",IFERROR(E32*$D$53,""))</f>
        <v/>
      </c>
      <c r="F53" s="426" t="str">
        <f>IF(F3="","",IFERROR(F32*$D$53,""))</f>
        <v/>
      </c>
      <c r="G53" s="426" t="str">
        <f>IF(G3="","",IFERROR(G32*$D$53,""))</f>
        <v/>
      </c>
      <c r="H53" s="426" t="str">
        <f>IF(H3="","",IFERROR(H32*$D$53,""))</f>
        <v/>
      </c>
      <c r="I53" s="426" t="str">
        <f>IF(I3="","",IFERROR(I32*$D$53,""))</f>
        <v/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>
      <c r="B54" s="926"/>
      <c r="C54" s="312"/>
      <c r="D54" s="461" t="s">
        <v>43</v>
      </c>
      <c r="E54" s="367" t="str">
        <f>IF(E3="","",IFERROR(E32*$D$51,""))</f>
        <v/>
      </c>
      <c r="F54" s="367" t="str">
        <f>IF(F3="","",IFERROR(F32*$D$51,""))</f>
        <v/>
      </c>
      <c r="G54" s="367" t="str">
        <f>IF(G3="","",IFERROR(G32*$D$51,""))</f>
        <v/>
      </c>
      <c r="H54" s="367" t="str">
        <f>IF(H3="","",IFERROR(H32*$D$51,""))</f>
        <v/>
      </c>
      <c r="I54" s="367" t="str">
        <f>IF(I3="","",IFERROR(I32*$D$51,""))</f>
        <v/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>
      <c r="B55" s="924" t="s">
        <v>432</v>
      </c>
      <c r="C55" s="310" t="s">
        <v>8</v>
      </c>
      <c r="D55" s="437"/>
      <c r="E55" s="313"/>
      <c r="F55" s="313"/>
      <c r="G55" s="313"/>
      <c r="H55" s="313"/>
      <c r="I55" s="313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>
      <c r="B56" s="925"/>
      <c r="C56" s="327" t="s">
        <v>557</v>
      </c>
      <c r="D56" s="472">
        <v>0.1075</v>
      </c>
      <c r="E56" s="436"/>
      <c r="F56" s="436"/>
      <c r="G56" s="436"/>
      <c r="H56" s="436"/>
      <c r="I56" s="436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>
      <c r="B57" s="925"/>
      <c r="C57" s="344" t="s">
        <v>562</v>
      </c>
      <c r="D57" s="439">
        <f>ROUND(POWER((100%+D56),1/12)-100%,4)</f>
        <v>8.5000000000000006E-3</v>
      </c>
      <c r="E57" s="426"/>
      <c r="F57" s="426"/>
      <c r="G57" s="426"/>
      <c r="H57" s="426"/>
      <c r="I57" s="426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>
      <c r="B58" s="926"/>
      <c r="C58" s="312"/>
      <c r="D58" s="461" t="s">
        <v>43</v>
      </c>
      <c r="E58" s="367" t="str">
        <f>IF(E3="","",IFERROR(E32*$D$57,""))</f>
        <v/>
      </c>
      <c r="F58" s="367" t="str">
        <f>IF(F3="","",IFERROR(F32*$D$57,""))</f>
        <v/>
      </c>
      <c r="G58" s="367" t="str">
        <f>IF(G3="","",IFERROR(G32*$D$57,""))</f>
        <v/>
      </c>
      <c r="H58" s="367" t="str">
        <f>IF(H3="","",IFERROR(H32*$D$57,""))</f>
        <v/>
      </c>
      <c r="I58" s="367" t="str">
        <f>IF(I3="","",IFERROR(I32*$D$57,""))</f>
        <v/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s="12" customFormat="1">
      <c r="A59" s="67"/>
      <c r="B59" s="84"/>
      <c r="C59" s="86" t="s">
        <v>568</v>
      </c>
      <c r="D59" s="86"/>
      <c r="E59" s="368" t="str">
        <f>IF(E3="","",SUM(E58,E54))</f>
        <v/>
      </c>
      <c r="F59" s="368" t="str">
        <f>IF(F3="","",SUM(F58,F54))</f>
        <v/>
      </c>
      <c r="G59" s="368" t="str">
        <f>IF(G3="","",SUM(G58,G54))</f>
        <v/>
      </c>
      <c r="H59" s="368" t="str">
        <f>IF(H3="","",SUM(H58,H54))</f>
        <v/>
      </c>
      <c r="I59" s="368" t="str">
        <f>IF(I3="","",SUM(I58,I54))</f>
        <v/>
      </c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</row>
    <row r="60" spans="1:27">
      <c r="B60"/>
      <c r="C60"/>
      <c r="D60"/>
      <c r="E60"/>
      <c r="F6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>
      <c r="B61" s="84"/>
      <c r="C61" s="85" t="s">
        <v>569</v>
      </c>
      <c r="D61" s="86"/>
      <c r="E61" s="368"/>
      <c r="F61" s="368"/>
      <c r="G61" s="368"/>
      <c r="H61" s="368"/>
      <c r="I61" s="368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3.75" customHeight="1">
      <c r="B62"/>
      <c r="C62"/>
      <c r="D62"/>
      <c r="E62"/>
      <c r="F62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>
      <c r="B63" s="167"/>
      <c r="C63" s="168" t="s">
        <v>570</v>
      </c>
      <c r="D63" s="169"/>
      <c r="E63" s="172"/>
      <c r="F63" s="172"/>
      <c r="G63" s="172"/>
      <c r="H63" s="172"/>
      <c r="I63" s="172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>
      <c r="B64" s="82" t="s">
        <v>2</v>
      </c>
      <c r="C64" s="83" t="s">
        <v>278</v>
      </c>
      <c r="D64" s="404">
        <f>'Mão de Obra'!D155</f>
        <v>0.05</v>
      </c>
      <c r="E64" s="94" t="str">
        <f>IF(E3="","",IFERROR(ROUND($D64*E$88,2),""))</f>
        <v/>
      </c>
      <c r="F64" s="94" t="str">
        <f>IF(F3="","",IFERROR(ROUND($D64*F$88,2),""))</f>
        <v/>
      </c>
      <c r="G64" s="94" t="str">
        <f>IF(G3="","",IFERROR(ROUND($D64*G$88,2),""))</f>
        <v/>
      </c>
      <c r="H64" s="94" t="str">
        <f>IF(H3="","",IFERROR(ROUND($D64*H$88,2),""))</f>
        <v/>
      </c>
      <c r="I64" s="94" t="str">
        <f>IF(I3="","",IFERROR(ROUND($D64*I$88,2),""))</f>
        <v/>
      </c>
      <c r="J64" s="39"/>
      <c r="K64" s="47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2:27">
      <c r="B65" s="82" t="s">
        <v>1</v>
      </c>
      <c r="C65" s="83" t="s">
        <v>279</v>
      </c>
      <c r="D65" s="404">
        <f>'Mão de Obra'!D156</f>
        <v>9.9900000000000003E-2</v>
      </c>
      <c r="E65" s="94" t="str">
        <f>IF(E4="","",IFERROR(ROUND($D65*SUM(E$64,E$88),2),""))</f>
        <v/>
      </c>
      <c r="F65" s="94" t="str">
        <f>IF(F4="","",IFERROR(ROUND($D65*SUM(F$64,F$88),2),""))</f>
        <v/>
      </c>
      <c r="G65" s="94" t="str">
        <f>IF(G4="","",IFERROR(ROUND($D65*SUM(G$64,G$88),2),""))</f>
        <v/>
      </c>
      <c r="H65" s="94" t="str">
        <f>IF(H4="","",IFERROR(ROUND($D65*SUM(H$64,H$88),2),""))</f>
        <v/>
      </c>
      <c r="I65" s="94" t="str">
        <f>IF(I4="","",IFERROR(ROUND($D65*SUM(I$64,I$88),2),""))</f>
        <v/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2:27">
      <c r="B66" s="167"/>
      <c r="C66" s="168" t="s">
        <v>571</v>
      </c>
      <c r="D66" s="171"/>
      <c r="E66" s="172" t="str">
        <f>IF(E3="","",SUM(E64:E65))</f>
        <v/>
      </c>
      <c r="F66" s="172" t="str">
        <f>IF(F3="","",SUM(F64:F65))</f>
        <v/>
      </c>
      <c r="G66" s="172" t="str">
        <f>IF(G3="","",SUM(G64:G65))</f>
        <v/>
      </c>
      <c r="H66" s="172" t="str">
        <f>IF(H3="","",SUM(H64:H65))</f>
        <v/>
      </c>
      <c r="I66" s="172" t="str">
        <f>IF(I3="","",SUM(I64:I65))</f>
        <v/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2:27" ht="3.75" customHeight="1">
      <c r="B67"/>
      <c r="C67"/>
      <c r="D67"/>
      <c r="E67"/>
      <c r="F67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2:27">
      <c r="B68" s="167"/>
      <c r="C68" s="168" t="s">
        <v>572</v>
      </c>
      <c r="D68" s="169"/>
      <c r="E68" s="172"/>
      <c r="F68" s="172"/>
      <c r="G68" s="172"/>
      <c r="H68" s="172"/>
      <c r="I68" s="172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2:27">
      <c r="B69" s="82" t="s">
        <v>2</v>
      </c>
      <c r="C69" s="83" t="s">
        <v>45</v>
      </c>
      <c r="D69" s="404">
        <f>'Mão de Obra'!D160</f>
        <v>0.03</v>
      </c>
      <c r="E69" s="94" t="str">
        <f t="shared" ref="E69:I70" si="3">IF(E$3="","",IFERROR(ROUND(SUM(E$88,E$66)*$D69/(1-SUM($D$69:$D$74,E$72)),2),""))</f>
        <v/>
      </c>
      <c r="F69" s="94" t="str">
        <f t="shared" si="3"/>
        <v/>
      </c>
      <c r="G69" s="94" t="str">
        <f t="shared" si="3"/>
        <v/>
      </c>
      <c r="H69" s="94" t="str">
        <f t="shared" si="3"/>
        <v/>
      </c>
      <c r="I69" s="94" t="str">
        <f t="shared" si="3"/>
        <v/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2:27">
      <c r="B70" s="82" t="s">
        <v>1</v>
      </c>
      <c r="C70" s="83" t="s">
        <v>134</v>
      </c>
      <c r="D70" s="404">
        <f>'Mão de Obra'!D161</f>
        <v>6.4999999999999997E-3</v>
      </c>
      <c r="E70" s="94" t="str">
        <f t="shared" si="3"/>
        <v/>
      </c>
      <c r="F70" s="94" t="str">
        <f t="shared" si="3"/>
        <v/>
      </c>
      <c r="G70" s="94" t="str">
        <f t="shared" si="3"/>
        <v/>
      </c>
      <c r="H70" s="94" t="str">
        <f t="shared" si="3"/>
        <v/>
      </c>
      <c r="I70" s="94" t="str">
        <f t="shared" si="3"/>
        <v/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2:27">
      <c r="B71" s="894" t="s">
        <v>0</v>
      </c>
      <c r="C71" s="156" t="s">
        <v>46</v>
      </c>
      <c r="D71" s="415"/>
      <c r="E71" s="144"/>
      <c r="F71" s="144"/>
      <c r="G71" s="144"/>
      <c r="H71" s="144"/>
      <c r="I71" s="1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2:27">
      <c r="B72" s="895"/>
      <c r="C72" s="344" t="s">
        <v>444</v>
      </c>
      <c r="D72" s="439"/>
      <c r="E72" s="464">
        <v>2.5000000000000001E-2</v>
      </c>
      <c r="F72" s="464">
        <v>2.5000000000000001E-2</v>
      </c>
      <c r="G72" s="464">
        <v>2.5000000000000001E-2</v>
      </c>
      <c r="H72" s="464">
        <v>2.5000000000000001E-2</v>
      </c>
      <c r="I72" s="464">
        <v>2.5000000000000001E-2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2:27">
      <c r="B73" s="896"/>
      <c r="C73" s="312"/>
      <c r="D73" s="461" t="s">
        <v>43</v>
      </c>
      <c r="E73" s="367" t="str">
        <f>IF(E$3="","",IFERROR(ROUND(SUM(E$88,E$66)*$E72/(1-SUM($D$69:$D$74,E$72)),2),""))</f>
        <v/>
      </c>
      <c r="F73" s="367" t="str">
        <f>IF(F$3="","",IFERROR(ROUND(SUM(F$88,F$66)*$E72/(1-SUM($D$69:$D$74,F$72)),2),""))</f>
        <v/>
      </c>
      <c r="G73" s="367" t="str">
        <f>IF(G$3="","",IFERROR(ROUND(SUM(G$88,G$66)*$E72/(1-SUM($D$69:$D$74,G$72)),2),""))</f>
        <v/>
      </c>
      <c r="H73" s="367" t="str">
        <f>IF(H$3="","",IFERROR(ROUND(SUM(H$88,H$66)*$E72/(1-SUM($D$69:$D$74,H$72)),2),""))</f>
        <v/>
      </c>
      <c r="I73" s="367" t="str">
        <f>IF(I$3="","",IFERROR(ROUND(SUM(I$88,I$66)*$E72/(1-SUM($D$69:$D$74,I$72)),2),""))</f>
        <v/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2:27">
      <c r="B74" s="386" t="s">
        <v>3</v>
      </c>
      <c r="C74" s="387" t="s">
        <v>390</v>
      </c>
      <c r="D74" s="404">
        <f>'Mão de Obra'!D165</f>
        <v>0</v>
      </c>
      <c r="E74" s="94" t="str">
        <f>IF(E$3="","",IFERROR(ROUND(SUM(E$88,E$66)*$D74/(1-SUM($D$69:$D$74,E$72)),2),""))</f>
        <v/>
      </c>
      <c r="F74" s="94" t="str">
        <f>IF(F$3="","",IFERROR(ROUND(SUM(F$88,F$66)*$D74/(1-SUM($D$69:$D$74,F$72)),2),""))</f>
        <v/>
      </c>
      <c r="G74" s="94" t="str">
        <f>IF(G$3="","",IFERROR(ROUND(SUM(G$88,G$66)*$D74/(1-SUM($D$69:$D$74,G$72)),2),""))</f>
        <v/>
      </c>
      <c r="H74" s="94" t="str">
        <f>IF(H$3="","",IFERROR(ROUND(SUM(H$88,H$66)*$D74/(1-SUM($D$69:$D$74,H$72)),2),""))</f>
        <v/>
      </c>
      <c r="I74" s="94" t="str">
        <f>IF(I$3="","",IFERROR(ROUND(SUM(I$88,I$66)*$D74/(1-SUM($D$69:$D$74,I$72)),2),""))</f>
        <v/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2:27">
      <c r="B75" s="167"/>
      <c r="C75" s="168" t="s">
        <v>573</v>
      </c>
      <c r="D75" s="171"/>
      <c r="E75" s="189" t="str">
        <f>IF(E4="","",SUM(E69:E70,E73:E74))</f>
        <v/>
      </c>
      <c r="F75" s="189" t="str">
        <f>IF(F4="","",SUM(F69:F70,F73:F74))</f>
        <v/>
      </c>
      <c r="G75" s="189" t="str">
        <f>IF(G4="","",SUM(G69:G70,G73:G74))</f>
        <v/>
      </c>
      <c r="H75" s="189" t="str">
        <f>IF(H4="","",SUM(H69:H70,H73:H74))</f>
        <v/>
      </c>
      <c r="I75" s="189" t="str">
        <f>IF(I4="","",SUM(I69:I70,I73:I74))</f>
        <v/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2:27" ht="3.75" customHeight="1">
      <c r="B76"/>
      <c r="C76"/>
      <c r="D76"/>
      <c r="E76"/>
      <c r="F76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2:27">
      <c r="B77" s="153"/>
      <c r="C77" s="85" t="s">
        <v>574</v>
      </c>
      <c r="D77" s="149"/>
      <c r="E77" s="151" t="str">
        <f>IF(E$3="","",SUM(E75,E66))</f>
        <v/>
      </c>
      <c r="F77" s="151" t="str">
        <f>IF(F$3="","",SUM(F75,F66))</f>
        <v/>
      </c>
      <c r="G77" s="151" t="str">
        <f>IF(G$3="","",SUM(G75,G66))</f>
        <v/>
      </c>
      <c r="H77" s="151" t="str">
        <f>IF(H$3="","",SUM(H75,H66))</f>
        <v/>
      </c>
      <c r="I77" s="151" t="str">
        <f>IF(I$3="","",SUM(I75,I66))</f>
        <v/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2:27"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2:27">
      <c r="B79" s="84"/>
      <c r="C79" s="85" t="s">
        <v>517</v>
      </c>
      <c r="D79" s="86"/>
      <c r="E79" s="368"/>
      <c r="F79" s="368"/>
      <c r="G79" s="368"/>
      <c r="H79" s="368"/>
      <c r="I79" s="368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2:27" ht="3.75" customHeight="1">
      <c r="B80" s="3"/>
      <c r="C80" s="3"/>
      <c r="D80" s="3"/>
      <c r="E80" s="3"/>
      <c r="F80" s="3"/>
      <c r="G80" s="3"/>
      <c r="H80" s="3"/>
      <c r="I80" s="3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2:27">
      <c r="B81" s="167"/>
      <c r="C81" s="168" t="s">
        <v>541</v>
      </c>
      <c r="D81" s="293"/>
      <c r="E81" s="392"/>
      <c r="F81" s="392"/>
      <c r="G81" s="392"/>
      <c r="H81" s="392"/>
      <c r="I81" s="392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2:27">
      <c r="B82" s="82" t="s">
        <v>2</v>
      </c>
      <c r="C82" s="83" t="s">
        <v>542</v>
      </c>
      <c r="D82" s="173"/>
      <c r="E82" s="94" t="str">
        <f>IFERROR(ROUND(E34*(1+E89/E88),2)/E5,"")</f>
        <v/>
      </c>
      <c r="F82" s="94" t="str">
        <f>IFERROR(ROUND(SUM(F48,F59)*(1+F89/F88),2)/F5,"")</f>
        <v/>
      </c>
      <c r="G82" s="94" t="str">
        <f>IFERROR(ROUND(SUM(G48,G59)*(1+G89/G88),2)/G5,"")</f>
        <v/>
      </c>
      <c r="H82" s="94" t="str">
        <f>IFERROR(ROUND(SUM(H48,H59)*(1+H89/H88),2)/H5,"")</f>
        <v/>
      </c>
      <c r="I82" s="94" t="str">
        <f>IFERROR(ROUND(SUM(I48,I59)*(1+I89/I88),2)/I5,"")</f>
        <v/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2:27">
      <c r="B83" s="894" t="s">
        <v>1</v>
      </c>
      <c r="C83" s="156" t="s">
        <v>468</v>
      </c>
      <c r="D83" s="415"/>
      <c r="E83" s="144"/>
      <c r="F83" s="144"/>
      <c r="G83" s="144"/>
      <c r="H83" s="144"/>
      <c r="I83" s="144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2:27">
      <c r="B84" s="895"/>
      <c r="C84" s="344" t="s">
        <v>543</v>
      </c>
      <c r="D84" s="439"/>
      <c r="E84" s="463"/>
      <c r="F84" s="463" t="str">
        <f>IF(F3="","",200)</f>
        <v/>
      </c>
      <c r="G84" s="463" t="str">
        <f>IF(G3="","",200)</f>
        <v/>
      </c>
      <c r="H84" s="463" t="str">
        <f>IF(H3="","",200)</f>
        <v/>
      </c>
      <c r="I84" s="463" t="str">
        <f>IF(I3="","",200)</f>
        <v/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2:27">
      <c r="B85" s="896"/>
      <c r="C85" s="312"/>
      <c r="D85" s="461" t="s">
        <v>43</v>
      </c>
      <c r="E85" s="462" t="str">
        <f>IFERROR(ROUND(SUM(E48,E59)*(1+E89/E88),2)/E84,"")</f>
        <v/>
      </c>
      <c r="F85" s="462" t="str">
        <f t="shared" ref="F85:I85" si="4">IFERROR(ROUND(F34*(1+F89/F88),2)/F84,"")</f>
        <v/>
      </c>
      <c r="G85" s="462" t="str">
        <f t="shared" si="4"/>
        <v/>
      </c>
      <c r="H85" s="462" t="str">
        <f t="shared" si="4"/>
        <v/>
      </c>
      <c r="I85" s="462" t="str">
        <f t="shared" si="4"/>
        <v/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2:27" ht="3.75" customHeight="1">
      <c r="B86" s="3"/>
      <c r="C86" s="3"/>
      <c r="D86" s="3"/>
      <c r="E86" s="3"/>
      <c r="F86" s="3"/>
      <c r="G86" s="3"/>
      <c r="H86" s="3"/>
      <c r="I86" s="3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2:27">
      <c r="B87" s="167"/>
      <c r="C87" s="168" t="s">
        <v>515</v>
      </c>
      <c r="D87" s="293"/>
      <c r="E87" s="392"/>
      <c r="F87" s="392"/>
      <c r="G87" s="392"/>
      <c r="H87" s="392"/>
      <c r="I87" s="392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2:27">
      <c r="B88" s="82" t="s">
        <v>2</v>
      </c>
      <c r="C88" s="83" t="s">
        <v>516</v>
      </c>
      <c r="D88" s="173"/>
      <c r="E88" s="94" t="str">
        <f>IF(E3="","",ROUND(SUM(E59,E48,E34),2))</f>
        <v/>
      </c>
      <c r="F88" s="94" t="str">
        <f>IF(F3="","",ROUND(SUM(F59,F48,F34),2))</f>
        <v/>
      </c>
      <c r="G88" s="94" t="str">
        <f>IF(G3="","",ROUND(SUM(G59,G48,G34),2))</f>
        <v/>
      </c>
      <c r="H88" s="94" t="str">
        <f>IF(H3="","",ROUND(SUM(H59,H48,H34),2))</f>
        <v/>
      </c>
      <c r="I88" s="94" t="str">
        <f>IF(I3="","",ROUND(SUM(I59,I48,I34),2))</f>
        <v/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2:27">
      <c r="B89" s="82" t="s">
        <v>1</v>
      </c>
      <c r="C89" s="83" t="s">
        <v>470</v>
      </c>
      <c r="D89" s="173"/>
      <c r="E89" s="94" t="str">
        <f>IFERROR(ROUND(E77,2),"")</f>
        <v/>
      </c>
      <c r="F89" s="94" t="str">
        <f t="shared" ref="F89:I89" si="5">IFERROR(ROUND(F77,2),"")</f>
        <v/>
      </c>
      <c r="G89" s="94" t="str">
        <f t="shared" si="5"/>
        <v/>
      </c>
      <c r="H89" s="94" t="str">
        <f t="shared" si="5"/>
        <v/>
      </c>
      <c r="I89" s="94" t="str">
        <f t="shared" si="5"/>
        <v/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2:27">
      <c r="B90" s="82" t="s">
        <v>0</v>
      </c>
      <c r="C90" s="83" t="s">
        <v>471</v>
      </c>
      <c r="D90" s="173"/>
      <c r="E90" s="94" t="str">
        <f>IF(E3="","",IFERROR(SUM(E88:E89),2))</f>
        <v/>
      </c>
      <c r="F90" s="94" t="str">
        <f>IF(F3="","",IFERROR(SUM(F88:F89),2))</f>
        <v/>
      </c>
      <c r="G90" s="94" t="str">
        <f>IF(G3="","",IFERROR(SUM(G88:G89),2))</f>
        <v/>
      </c>
      <c r="H90" s="94" t="str">
        <f>IF(H3="","",IFERROR(SUM(H88:H89),2))</f>
        <v/>
      </c>
      <c r="I90" s="94" t="str">
        <f>IF(I3="","",IFERROR(SUM(I88:I89),2))</f>
        <v/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2:27" ht="3.75" customHeight="1">
      <c r="B91" s="3"/>
      <c r="C91" s="3"/>
      <c r="D91" s="3"/>
      <c r="E91" s="3"/>
      <c r="F91" s="3"/>
      <c r="G91" s="3"/>
      <c r="H91" s="3"/>
      <c r="I91" s="3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2:27">
      <c r="B92" s="167"/>
      <c r="C92" s="168" t="s">
        <v>514</v>
      </c>
      <c r="D92" s="293"/>
      <c r="E92" s="392"/>
      <c r="F92" s="392"/>
      <c r="G92" s="392"/>
      <c r="H92" s="392"/>
      <c r="I92" s="392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2:27">
      <c r="B93" s="82" t="s">
        <v>2</v>
      </c>
      <c r="C93" s="83" t="s">
        <v>516</v>
      </c>
      <c r="D93" s="173"/>
      <c r="E93" s="94" t="str">
        <f>IF(E$3="","",ROUND(E88*E$4,2))</f>
        <v/>
      </c>
      <c r="F93" s="94" t="str">
        <f t="shared" ref="F93:I93" si="6">IF(F$3="","",ROUND(F88*F$4,2))</f>
        <v/>
      </c>
      <c r="G93" s="94" t="str">
        <f t="shared" si="6"/>
        <v/>
      </c>
      <c r="H93" s="94" t="str">
        <f t="shared" si="6"/>
        <v/>
      </c>
      <c r="I93" s="94" t="str">
        <f t="shared" si="6"/>
        <v/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2:27">
      <c r="B94" s="82" t="s">
        <v>1</v>
      </c>
      <c r="C94" s="83" t="s">
        <v>470</v>
      </c>
      <c r="D94" s="173"/>
      <c r="E94" s="94" t="str">
        <f>IF(E$3="","",ROUND(E89*E$4,2))</f>
        <v/>
      </c>
      <c r="F94" s="94" t="str">
        <f t="shared" ref="F94:I94" si="7">IF(F$3="","",ROUND(F89*F$4,2))</f>
        <v/>
      </c>
      <c r="G94" s="94" t="str">
        <f t="shared" si="7"/>
        <v/>
      </c>
      <c r="H94" s="94" t="str">
        <f t="shared" si="7"/>
        <v/>
      </c>
      <c r="I94" s="94" t="str">
        <f t="shared" si="7"/>
        <v/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2:27">
      <c r="B95" s="82" t="s">
        <v>0</v>
      </c>
      <c r="C95" s="83" t="s">
        <v>471</v>
      </c>
      <c r="D95" s="173"/>
      <c r="E95" s="94" t="str">
        <f>IF(E$3="","",ROUND(E90*E$4,2))</f>
        <v/>
      </c>
      <c r="F95" s="94" t="str">
        <f t="shared" ref="F95:I95" si="8">IF(F$3="","",ROUND(F90*F$4,2))</f>
        <v/>
      </c>
      <c r="G95" s="94" t="str">
        <f t="shared" si="8"/>
        <v/>
      </c>
      <c r="H95" s="94" t="str">
        <f t="shared" si="8"/>
        <v/>
      </c>
      <c r="I95" s="94" t="str">
        <f t="shared" si="8"/>
        <v/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2:27">
      <c r="B96" s="82" t="s">
        <v>3</v>
      </c>
      <c r="C96" s="83" t="s">
        <v>474</v>
      </c>
      <c r="D96" s="173"/>
      <c r="E96" s="94" t="str">
        <f>IF(E3="","",IFERROR(ROUND(E95*Resumo!$J$6,2),""))</f>
        <v/>
      </c>
      <c r="F96" s="94" t="str">
        <f>IF(F3="","",IFERROR(ROUND(F95*Resumo!$J$6,2),""))</f>
        <v/>
      </c>
      <c r="G96" s="94" t="str">
        <f>IF(G3="","",IFERROR(ROUND(G95*Resumo!$J$6,2),""))</f>
        <v/>
      </c>
      <c r="H96" s="94" t="str">
        <f>IF(H3="","",IFERROR(ROUND(H95*Resumo!$J$6,2),""))</f>
        <v/>
      </c>
      <c r="I96" s="94" t="str">
        <f>IF(I3="","",IFERROR(ROUND(I95*Resumo!$J$6,2),""))</f>
        <v/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</sheetData>
  <sheetProtection algorithmName="SHA-512" hashValue="rCONhX8wnSRuGviE7oUdrrtRU60VsIXTXmGQ9EG+aUjUz0wDYrHBfCGcj8O0sjudtnTSlBy3G8UMtE8q4slmsA==" saltValue="WWbllfg6Q8nwypJ8tE2iyQ==" spinCount="100000" sheet="1" objects="1" scenarios="1" formatColumns="0"/>
  <mergeCells count="11">
    <mergeCell ref="B83:B85"/>
    <mergeCell ref="B71:B73"/>
    <mergeCell ref="B44:B47"/>
    <mergeCell ref="B51:B54"/>
    <mergeCell ref="B27:B33"/>
    <mergeCell ref="B55:B58"/>
    <mergeCell ref="B8:B12"/>
    <mergeCell ref="B18:B21"/>
    <mergeCell ref="B13:B17"/>
    <mergeCell ref="B22:B26"/>
    <mergeCell ref="B39:B42"/>
  </mergeCells>
  <dataValidations disablePrompts="1" count="2">
    <dataValidation type="list" allowBlank="1" showInputMessage="1" showErrorMessage="1" sqref="E10:I10" xr:uid="{00000000-0002-0000-0200-000000000000}">
      <formula1>"Etanol,Gasolina,Diesel,Elétrico"</formula1>
    </dataValidation>
    <dataValidation showInputMessage="1" sqref="D73 D54:D56 D85 D58" xr:uid="{00000000-0002-0000-0200-000001000000}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B1:EO169"/>
  <sheetViews>
    <sheetView showGridLines="0" zoomScaleNormal="100" workbookViewId="0">
      <pane ySplit="3" topLeftCell="A4" activePane="bottomLeft" state="frozen"/>
      <selection pane="bottomLeft" activeCell="H5" sqref="H5:I9"/>
    </sheetView>
  </sheetViews>
  <sheetFormatPr defaultRowHeight="15"/>
  <cols>
    <col min="1" max="1" width="1.42578125" customWidth="1"/>
    <col min="2" max="2" width="7.42578125" customWidth="1"/>
    <col min="3" max="3" width="10.7109375" style="12" customWidth="1"/>
    <col min="4" max="4" width="48.85546875" customWidth="1"/>
    <col min="5" max="5" width="14" style="2" customWidth="1"/>
    <col min="6" max="6" width="18.7109375" customWidth="1"/>
    <col min="7" max="7" width="0.7109375" customWidth="1"/>
    <col min="8" max="12" width="14.7109375" customWidth="1"/>
    <col min="13" max="13" width="9.140625" style="39" customWidth="1"/>
    <col min="14" max="145" width="9.140625" style="39"/>
  </cols>
  <sheetData>
    <row r="1" spans="2:12" ht="9.75" customHeight="1"/>
    <row r="2" spans="2:12">
      <c r="B2" s="402" t="s">
        <v>440</v>
      </c>
      <c r="C2" s="402"/>
      <c r="D2" s="402"/>
      <c r="E2" s="402"/>
      <c r="F2" s="402"/>
      <c r="H2" s="465" t="s">
        <v>504</v>
      </c>
      <c r="I2" s="465"/>
      <c r="J2" s="466"/>
      <c r="K2" s="468"/>
      <c r="L2" s="467"/>
    </row>
    <row r="3" spans="2:12">
      <c r="B3" s="401" t="s">
        <v>235</v>
      </c>
      <c r="C3" s="401" t="s">
        <v>485</v>
      </c>
      <c r="D3" s="401" t="s">
        <v>42</v>
      </c>
      <c r="E3" s="401" t="s">
        <v>486</v>
      </c>
      <c r="F3" s="401" t="s">
        <v>43</v>
      </c>
      <c r="H3" s="401" t="str">
        <f xml:space="preserve">
IF(IFERROR(SUM(Produtividade!$L$195:$L$220)&gt;0,FALSE()),Produtividade!E17,'Mão de Obra'!E17)</f>
        <v>Posto A</v>
      </c>
      <c r="I3" s="401" t="str">
        <f xml:space="preserve">
IF(IFERROR(SUM(Produtividade!$L$195:$L$220)&gt;0,FALSE()),Produtividade!F17,'Mão de Obra'!F17)</f>
        <v>Posto B</v>
      </c>
      <c r="J3" s="401" t="str">
        <f xml:space="preserve">
IF(IFERROR(SUM(Produtividade!$L$195:$L$220)&gt;0,FALSE()),Produtividade!G17,'Mão de Obra'!G17)</f>
        <v>Posto C</v>
      </c>
      <c r="K3" s="401" t="str">
        <f xml:space="preserve">
IF(IFERROR(SUM(Produtividade!$L$195:$L$220)&gt;0,FALSE()),Produtividade!H17,'Mão de Obra'!H17)</f>
        <v>Posto D</v>
      </c>
      <c r="L3" s="401" t="str">
        <f xml:space="preserve">
IF(IFERROR(SUM(Produtividade!$L$195:$L$220)&gt;0,FALSE()),Produtividade!I17,'Mão de Obra'!I17)</f>
        <v>Posto E</v>
      </c>
    </row>
    <row r="4" spans="2:12" s="39" customFormat="1"/>
    <row r="5" spans="2:12" s="39" customFormat="1">
      <c r="B5" s="248">
        <v>1</v>
      </c>
      <c r="C5" s="249"/>
      <c r="D5" s="250" t="s">
        <v>610</v>
      </c>
      <c r="E5" s="248" t="s">
        <v>611</v>
      </c>
      <c r="F5" s="251">
        <v>55.18</v>
      </c>
      <c r="G5"/>
      <c r="H5" s="248"/>
      <c r="I5" s="248"/>
      <c r="J5" s="248"/>
      <c r="K5" s="248"/>
      <c r="L5" s="248"/>
    </row>
    <row r="6" spans="2:12" s="39" customFormat="1">
      <c r="B6" s="248">
        <v>2</v>
      </c>
      <c r="C6" s="249"/>
      <c r="D6" s="250" t="s">
        <v>612</v>
      </c>
      <c r="E6" s="248" t="s">
        <v>611</v>
      </c>
      <c r="F6" s="251">
        <v>24.36</v>
      </c>
      <c r="G6"/>
      <c r="H6" s="248"/>
      <c r="I6" s="248"/>
      <c r="J6" s="248"/>
      <c r="K6" s="248"/>
      <c r="L6" s="248"/>
    </row>
    <row r="7" spans="2:12" s="39" customFormat="1">
      <c r="B7" s="248">
        <v>3</v>
      </c>
      <c r="C7" s="249"/>
      <c r="D7" s="250" t="s">
        <v>613</v>
      </c>
      <c r="E7" s="248" t="s">
        <v>611</v>
      </c>
      <c r="F7" s="251">
        <v>8.3000000000000007</v>
      </c>
      <c r="G7"/>
      <c r="H7" s="248"/>
      <c r="I7" s="248"/>
      <c r="J7" s="248"/>
      <c r="K7" s="248"/>
      <c r="L7" s="248"/>
    </row>
    <row r="8" spans="2:12" s="39" customFormat="1">
      <c r="B8" s="248">
        <v>4</v>
      </c>
      <c r="C8" s="249"/>
      <c r="D8" s="250" t="s">
        <v>614</v>
      </c>
      <c r="E8" s="248" t="s">
        <v>615</v>
      </c>
      <c r="F8" s="251">
        <v>48.75</v>
      </c>
      <c r="G8"/>
      <c r="H8" s="248"/>
      <c r="I8" s="248"/>
      <c r="J8" s="248"/>
      <c r="K8" s="248"/>
      <c r="L8" s="248"/>
    </row>
    <row r="9" spans="2:12" s="39" customFormat="1">
      <c r="B9" s="248">
        <v>5</v>
      </c>
      <c r="C9" s="249"/>
      <c r="D9" s="250" t="s">
        <v>617</v>
      </c>
      <c r="E9" s="248" t="s">
        <v>611</v>
      </c>
      <c r="F9" s="251">
        <v>61.48</v>
      </c>
      <c r="G9"/>
      <c r="H9" s="248"/>
      <c r="I9" s="248"/>
      <c r="J9" s="248"/>
      <c r="K9" s="248"/>
      <c r="L9" s="248"/>
    </row>
    <row r="10" spans="2:12" s="39" customFormat="1">
      <c r="B10" s="248">
        <v>6</v>
      </c>
      <c r="C10" s="249"/>
      <c r="D10" s="250"/>
      <c r="E10" s="248"/>
      <c r="F10" s="251"/>
      <c r="G10"/>
      <c r="H10" s="248"/>
      <c r="I10" s="248"/>
      <c r="J10" s="248"/>
      <c r="K10" s="248"/>
      <c r="L10" s="248"/>
    </row>
    <row r="11" spans="2:12" s="39" customFormat="1">
      <c r="B11" s="248">
        <v>7</v>
      </c>
      <c r="C11" s="249"/>
      <c r="D11" s="250"/>
      <c r="E11" s="248"/>
      <c r="F11" s="251"/>
      <c r="G11"/>
      <c r="H11" s="248"/>
      <c r="I11" s="248"/>
      <c r="J11" s="248"/>
      <c r="K11" s="248"/>
      <c r="L11" s="248"/>
    </row>
    <row r="12" spans="2:12" s="39" customFormat="1">
      <c r="B12" s="248">
        <v>8</v>
      </c>
      <c r="C12" s="249"/>
      <c r="D12" s="250"/>
      <c r="E12" s="248"/>
      <c r="F12" s="251"/>
      <c r="G12"/>
      <c r="H12" s="248"/>
      <c r="I12" s="248"/>
      <c r="J12" s="248"/>
      <c r="K12" s="248"/>
      <c r="L12" s="248"/>
    </row>
    <row r="13" spans="2:12" s="39" customFormat="1">
      <c r="B13" s="248">
        <v>9</v>
      </c>
      <c r="C13" s="249"/>
      <c r="D13" s="250"/>
      <c r="E13" s="248"/>
      <c r="F13" s="251"/>
      <c r="G13"/>
      <c r="H13" s="248"/>
      <c r="I13" s="248"/>
      <c r="J13" s="248"/>
      <c r="K13" s="248"/>
      <c r="L13" s="248"/>
    </row>
    <row r="14" spans="2:12" s="39" customFormat="1">
      <c r="B14" s="248">
        <v>10</v>
      </c>
      <c r="C14" s="249"/>
      <c r="D14" s="250"/>
      <c r="E14" s="248"/>
      <c r="F14" s="251"/>
      <c r="G14"/>
      <c r="H14" s="248"/>
      <c r="I14" s="248"/>
      <c r="J14" s="248"/>
      <c r="K14" s="248"/>
      <c r="L14" s="248"/>
    </row>
    <row r="15" spans="2:12">
      <c r="B15" s="248">
        <v>11</v>
      </c>
      <c r="C15" s="249"/>
      <c r="D15" s="250"/>
      <c r="E15" s="248"/>
      <c r="F15" s="251"/>
      <c r="H15" s="248"/>
      <c r="I15" s="248"/>
      <c r="J15" s="248"/>
      <c r="K15" s="248"/>
      <c r="L15" s="248"/>
    </row>
    <row r="16" spans="2:12">
      <c r="B16" s="248">
        <v>12</v>
      </c>
      <c r="C16" s="249"/>
      <c r="D16" s="250"/>
      <c r="E16" s="248"/>
      <c r="F16" s="251"/>
      <c r="H16" s="248"/>
      <c r="I16" s="248"/>
      <c r="J16" s="248"/>
      <c r="K16" s="248"/>
      <c r="L16" s="248"/>
    </row>
    <row r="17" spans="2:12">
      <c r="B17" s="248">
        <v>13</v>
      </c>
      <c r="C17" s="249"/>
      <c r="D17" s="250"/>
      <c r="E17" s="248"/>
      <c r="F17" s="251"/>
      <c r="H17" s="248"/>
      <c r="I17" s="248"/>
      <c r="J17" s="248"/>
      <c r="K17" s="248"/>
      <c r="L17" s="248"/>
    </row>
    <row r="18" spans="2:12">
      <c r="B18" s="248">
        <v>14</v>
      </c>
      <c r="C18" s="249"/>
      <c r="D18" s="250"/>
      <c r="E18" s="248"/>
      <c r="F18" s="251"/>
      <c r="H18" s="248"/>
      <c r="I18" s="248"/>
      <c r="J18" s="248"/>
      <c r="K18" s="248"/>
      <c r="L18" s="248"/>
    </row>
    <row r="19" spans="2:12">
      <c r="B19" s="248">
        <v>15</v>
      </c>
      <c r="C19" s="249"/>
      <c r="D19" s="250"/>
      <c r="E19" s="248"/>
      <c r="F19" s="251"/>
      <c r="H19" s="248"/>
      <c r="I19" s="248"/>
      <c r="J19" s="248"/>
      <c r="K19" s="248"/>
      <c r="L19" s="248"/>
    </row>
    <row r="20" spans="2:12">
      <c r="B20" s="248">
        <v>16</v>
      </c>
      <c r="C20" s="249"/>
      <c r="D20" s="250"/>
      <c r="E20" s="248"/>
      <c r="F20" s="251"/>
      <c r="H20" s="248"/>
      <c r="I20" s="248"/>
      <c r="J20" s="248"/>
      <c r="K20" s="248"/>
      <c r="L20" s="248"/>
    </row>
    <row r="21" spans="2:12">
      <c r="B21" s="248">
        <v>17</v>
      </c>
      <c r="C21" s="249"/>
      <c r="D21" s="250"/>
      <c r="E21" s="248"/>
      <c r="F21" s="251"/>
      <c r="H21" s="248"/>
      <c r="I21" s="248"/>
      <c r="J21" s="248"/>
      <c r="K21" s="248"/>
      <c r="L21" s="248"/>
    </row>
    <row r="22" spans="2:12">
      <c r="B22" s="248">
        <v>18</v>
      </c>
      <c r="C22" s="249"/>
      <c r="D22" s="250"/>
      <c r="E22" s="248"/>
      <c r="F22" s="251"/>
      <c r="H22" s="248"/>
      <c r="I22" s="248"/>
      <c r="J22" s="248"/>
      <c r="K22" s="248"/>
      <c r="L22" s="248"/>
    </row>
    <row r="23" spans="2:12">
      <c r="B23" s="248">
        <v>19</v>
      </c>
      <c r="C23" s="249"/>
      <c r="D23" s="250"/>
      <c r="E23" s="248"/>
      <c r="F23" s="251"/>
      <c r="H23" s="248"/>
      <c r="I23" s="248"/>
      <c r="J23" s="248"/>
      <c r="K23" s="248"/>
      <c r="L23" s="248"/>
    </row>
    <row r="24" spans="2:12">
      <c r="B24" s="248">
        <v>20</v>
      </c>
      <c r="C24" s="249"/>
      <c r="D24" s="250"/>
      <c r="E24" s="248"/>
      <c r="F24" s="251"/>
      <c r="H24" s="248"/>
      <c r="I24" s="248"/>
      <c r="J24" s="248"/>
      <c r="K24" s="248"/>
      <c r="L24" s="248"/>
    </row>
    <row r="25" spans="2:12" s="39" customFormat="1">
      <c r="C25" s="295"/>
      <c r="E25" s="302"/>
      <c r="G25"/>
    </row>
    <row r="26" spans="2:12" s="39" customFormat="1">
      <c r="C26" s="295"/>
      <c r="E26" s="302"/>
      <c r="F26" s="252" t="s">
        <v>522</v>
      </c>
      <c r="G26"/>
      <c r="H26" s="253">
        <f>IFERROR(ROUND(SUMPRODUCT(H4:H25,$F$4:$F$25),2),"")</f>
        <v>0</v>
      </c>
      <c r="I26" s="253">
        <f>IFERROR(ROUND(SUMPRODUCT(I4:I25,$F$4:$F$25),2),"")</f>
        <v>0</v>
      </c>
      <c r="J26" s="253">
        <f>IFERROR(ROUND(SUMPRODUCT(J4:J25,$F$4:$F$25),2),"")</f>
        <v>0</v>
      </c>
      <c r="K26" s="253">
        <f>IFERROR(ROUND(SUMPRODUCT(K4:K25,$F$4:$F$25),2),"")</f>
        <v>0</v>
      </c>
      <c r="L26" s="253">
        <f>IFERROR(ROUND(SUMPRODUCT(L4:L25,$F$4:$F$25),2),"")</f>
        <v>0</v>
      </c>
    </row>
    <row r="27" spans="2:12" s="39" customFormat="1">
      <c r="C27" s="295"/>
      <c r="E27" s="302"/>
      <c r="G27"/>
    </row>
    <row r="28" spans="2:12" s="39" customFormat="1">
      <c r="C28" s="295"/>
      <c r="E28" s="302"/>
      <c r="G28"/>
    </row>
    <row r="29" spans="2:12" s="39" customFormat="1">
      <c r="C29" s="295"/>
      <c r="E29" s="302"/>
      <c r="G29"/>
    </row>
    <row r="30" spans="2:12" s="39" customFormat="1">
      <c r="C30" s="295"/>
      <c r="E30" s="302"/>
      <c r="G30"/>
    </row>
    <row r="31" spans="2:12" s="39" customFormat="1">
      <c r="C31" s="295"/>
      <c r="E31" s="302"/>
      <c r="G31"/>
    </row>
    <row r="32" spans="2:12" s="39" customFormat="1">
      <c r="C32" s="295"/>
      <c r="E32" s="302"/>
      <c r="G32"/>
    </row>
    <row r="33" spans="3:7" s="39" customFormat="1">
      <c r="C33" s="295"/>
      <c r="E33" s="302"/>
      <c r="G33"/>
    </row>
    <row r="34" spans="3:7" s="39" customFormat="1">
      <c r="C34" s="295"/>
      <c r="E34" s="302"/>
      <c r="G34"/>
    </row>
    <row r="35" spans="3:7" s="39" customFormat="1">
      <c r="C35" s="295"/>
      <c r="E35" s="302"/>
      <c r="G35"/>
    </row>
    <row r="36" spans="3:7" s="39" customFormat="1">
      <c r="C36" s="295"/>
      <c r="E36" s="302"/>
      <c r="G36"/>
    </row>
    <row r="37" spans="3:7" s="39" customFormat="1">
      <c r="C37" s="295"/>
      <c r="E37" s="302"/>
      <c r="G37"/>
    </row>
    <row r="38" spans="3:7" s="39" customFormat="1">
      <c r="C38" s="295"/>
      <c r="E38" s="302"/>
      <c r="G38"/>
    </row>
    <row r="39" spans="3:7" s="39" customFormat="1">
      <c r="C39" s="295"/>
      <c r="E39" s="302"/>
      <c r="G39"/>
    </row>
    <row r="40" spans="3:7" s="39" customFormat="1">
      <c r="C40" s="295"/>
      <c r="E40" s="302"/>
      <c r="G40"/>
    </row>
    <row r="41" spans="3:7" s="39" customFormat="1">
      <c r="C41" s="295"/>
      <c r="E41" s="302"/>
      <c r="G41"/>
    </row>
    <row r="42" spans="3:7" s="39" customFormat="1">
      <c r="C42" s="295"/>
      <c r="E42" s="302"/>
      <c r="G42"/>
    </row>
    <row r="43" spans="3:7" s="39" customFormat="1">
      <c r="C43" s="295"/>
      <c r="E43" s="302"/>
      <c r="G43"/>
    </row>
    <row r="44" spans="3:7" s="39" customFormat="1">
      <c r="C44" s="295"/>
      <c r="E44" s="302"/>
      <c r="G44"/>
    </row>
    <row r="45" spans="3:7" s="39" customFormat="1">
      <c r="C45" s="295"/>
      <c r="E45" s="302"/>
      <c r="G45"/>
    </row>
    <row r="46" spans="3:7" s="39" customFormat="1">
      <c r="C46" s="295"/>
      <c r="E46" s="302"/>
      <c r="G46"/>
    </row>
    <row r="47" spans="3:7" s="39" customFormat="1">
      <c r="C47" s="295"/>
      <c r="E47" s="302"/>
      <c r="G47"/>
    </row>
    <row r="48" spans="3:7" s="39" customFormat="1">
      <c r="C48" s="295"/>
      <c r="E48" s="302"/>
      <c r="G48"/>
    </row>
    <row r="49" spans="3:7" s="39" customFormat="1">
      <c r="C49" s="295"/>
      <c r="E49" s="302"/>
      <c r="G49"/>
    </row>
    <row r="50" spans="3:7" s="39" customFormat="1">
      <c r="C50" s="295"/>
      <c r="E50" s="302"/>
      <c r="G50"/>
    </row>
    <row r="51" spans="3:7" s="39" customFormat="1">
      <c r="C51" s="295"/>
      <c r="E51" s="302"/>
      <c r="G51"/>
    </row>
    <row r="52" spans="3:7" s="39" customFormat="1">
      <c r="C52" s="295"/>
      <c r="E52" s="302"/>
      <c r="G52"/>
    </row>
    <row r="53" spans="3:7" s="39" customFormat="1">
      <c r="C53" s="295"/>
      <c r="E53" s="302"/>
      <c r="G53"/>
    </row>
    <row r="54" spans="3:7" s="39" customFormat="1">
      <c r="C54" s="295"/>
      <c r="E54" s="302"/>
      <c r="G54"/>
    </row>
    <row r="55" spans="3:7" s="39" customFormat="1">
      <c r="C55" s="295"/>
      <c r="E55" s="302"/>
      <c r="G55"/>
    </row>
    <row r="56" spans="3:7" s="39" customFormat="1">
      <c r="C56" s="295"/>
      <c r="E56" s="302"/>
      <c r="G56"/>
    </row>
    <row r="57" spans="3:7" s="39" customFormat="1">
      <c r="C57" s="295"/>
      <c r="E57" s="302"/>
      <c r="G57"/>
    </row>
    <row r="58" spans="3:7" s="39" customFormat="1">
      <c r="C58" s="295"/>
      <c r="E58" s="302"/>
      <c r="G58"/>
    </row>
    <row r="59" spans="3:7" s="39" customFormat="1">
      <c r="C59" s="295"/>
      <c r="E59" s="302"/>
      <c r="G59"/>
    </row>
    <row r="60" spans="3:7" s="39" customFormat="1">
      <c r="C60" s="295"/>
      <c r="E60" s="302"/>
      <c r="G60"/>
    </row>
    <row r="61" spans="3:7" s="39" customFormat="1">
      <c r="C61" s="295"/>
      <c r="E61" s="302"/>
      <c r="G61"/>
    </row>
    <row r="62" spans="3:7" s="39" customFormat="1">
      <c r="C62" s="295"/>
      <c r="E62" s="302"/>
      <c r="G62"/>
    </row>
    <row r="63" spans="3:7" s="39" customFormat="1">
      <c r="C63" s="295"/>
      <c r="E63" s="302"/>
      <c r="G63"/>
    </row>
    <row r="64" spans="3:7" s="39" customFormat="1">
      <c r="C64" s="295"/>
      <c r="E64" s="302"/>
      <c r="G64"/>
    </row>
    <row r="65" spans="3:7" s="39" customFormat="1">
      <c r="C65" s="295"/>
      <c r="E65" s="302"/>
      <c r="G65"/>
    </row>
    <row r="66" spans="3:7" s="39" customFormat="1">
      <c r="C66" s="295"/>
      <c r="E66" s="302"/>
      <c r="G66"/>
    </row>
    <row r="67" spans="3:7" s="39" customFormat="1">
      <c r="C67" s="295"/>
      <c r="E67" s="302"/>
      <c r="G67"/>
    </row>
    <row r="68" spans="3:7" s="39" customFormat="1">
      <c r="C68" s="295"/>
      <c r="E68" s="302"/>
      <c r="G68"/>
    </row>
    <row r="69" spans="3:7" s="39" customFormat="1">
      <c r="C69" s="295"/>
      <c r="E69" s="302"/>
      <c r="G69"/>
    </row>
    <row r="70" spans="3:7" s="39" customFormat="1">
      <c r="C70" s="295"/>
      <c r="E70" s="302"/>
      <c r="G70"/>
    </row>
    <row r="71" spans="3:7" s="39" customFormat="1">
      <c r="C71" s="295"/>
      <c r="E71" s="302"/>
      <c r="G71"/>
    </row>
    <row r="72" spans="3:7" s="39" customFormat="1">
      <c r="C72" s="295"/>
      <c r="E72" s="302"/>
      <c r="G72"/>
    </row>
    <row r="73" spans="3:7" s="39" customFormat="1">
      <c r="C73" s="295"/>
      <c r="E73" s="302"/>
      <c r="G73"/>
    </row>
    <row r="74" spans="3:7" s="39" customFormat="1">
      <c r="C74" s="295"/>
      <c r="E74" s="302"/>
      <c r="G74"/>
    </row>
    <row r="75" spans="3:7" s="39" customFormat="1">
      <c r="C75" s="295"/>
      <c r="E75" s="302"/>
      <c r="G75"/>
    </row>
    <row r="76" spans="3:7" s="39" customFormat="1">
      <c r="C76" s="295"/>
      <c r="E76" s="302"/>
      <c r="G76"/>
    </row>
    <row r="77" spans="3:7" s="39" customFormat="1">
      <c r="C77" s="295"/>
      <c r="E77" s="302"/>
      <c r="G77"/>
    </row>
    <row r="78" spans="3:7" s="39" customFormat="1">
      <c r="C78" s="295"/>
      <c r="E78" s="302"/>
      <c r="G78"/>
    </row>
    <row r="79" spans="3:7" s="39" customFormat="1">
      <c r="C79" s="295"/>
      <c r="E79" s="302"/>
      <c r="G79"/>
    </row>
    <row r="80" spans="3:7" s="39" customFormat="1">
      <c r="C80" s="295"/>
      <c r="E80" s="302"/>
      <c r="G80"/>
    </row>
    <row r="81" spans="3:7" s="39" customFormat="1">
      <c r="C81" s="295"/>
      <c r="E81" s="302"/>
      <c r="G81"/>
    </row>
    <row r="82" spans="3:7" s="39" customFormat="1">
      <c r="C82" s="295"/>
      <c r="E82" s="302"/>
      <c r="G82"/>
    </row>
    <row r="83" spans="3:7" s="39" customFormat="1">
      <c r="C83" s="295"/>
      <c r="E83" s="302"/>
      <c r="G83"/>
    </row>
    <row r="84" spans="3:7" s="39" customFormat="1">
      <c r="C84" s="295"/>
      <c r="E84" s="302"/>
      <c r="G84"/>
    </row>
    <row r="85" spans="3:7" s="39" customFormat="1">
      <c r="C85" s="295"/>
      <c r="E85" s="302"/>
      <c r="G85"/>
    </row>
    <row r="86" spans="3:7" s="39" customFormat="1">
      <c r="C86" s="295"/>
      <c r="E86" s="302"/>
      <c r="G86"/>
    </row>
    <row r="87" spans="3:7" s="39" customFormat="1">
      <c r="C87" s="295"/>
      <c r="E87" s="302"/>
      <c r="G87"/>
    </row>
    <row r="88" spans="3:7" s="39" customFormat="1">
      <c r="C88" s="295"/>
      <c r="E88" s="302"/>
      <c r="G88"/>
    </row>
    <row r="89" spans="3:7" s="39" customFormat="1">
      <c r="C89" s="295"/>
      <c r="E89" s="302"/>
      <c r="G89"/>
    </row>
    <row r="90" spans="3:7" s="39" customFormat="1">
      <c r="C90" s="295"/>
      <c r="E90" s="302"/>
      <c r="G90"/>
    </row>
    <row r="91" spans="3:7" s="39" customFormat="1">
      <c r="C91" s="295"/>
      <c r="E91" s="302"/>
      <c r="G91"/>
    </row>
    <row r="92" spans="3:7" s="39" customFormat="1">
      <c r="C92" s="295"/>
      <c r="E92" s="302"/>
      <c r="G92"/>
    </row>
    <row r="93" spans="3:7" s="39" customFormat="1">
      <c r="C93" s="295"/>
      <c r="E93" s="302"/>
      <c r="G93"/>
    </row>
    <row r="94" spans="3:7" s="39" customFormat="1">
      <c r="C94" s="295"/>
      <c r="E94" s="302"/>
      <c r="G94"/>
    </row>
    <row r="95" spans="3:7" s="39" customFormat="1">
      <c r="C95" s="295"/>
      <c r="E95" s="302"/>
      <c r="G95"/>
    </row>
    <row r="96" spans="3:7" s="39" customFormat="1">
      <c r="C96" s="295"/>
      <c r="E96" s="302"/>
      <c r="G96"/>
    </row>
    <row r="97" spans="3:7" s="39" customFormat="1">
      <c r="C97" s="295"/>
      <c r="E97" s="302"/>
      <c r="G97"/>
    </row>
    <row r="98" spans="3:7" s="39" customFormat="1">
      <c r="C98" s="295"/>
      <c r="E98" s="302"/>
      <c r="G98"/>
    </row>
    <row r="99" spans="3:7" s="39" customFormat="1">
      <c r="C99" s="295"/>
      <c r="E99" s="302"/>
      <c r="G99"/>
    </row>
    <row r="100" spans="3:7" s="39" customFormat="1">
      <c r="C100" s="295"/>
      <c r="E100" s="302"/>
      <c r="G100"/>
    </row>
    <row r="101" spans="3:7" s="39" customFormat="1">
      <c r="C101" s="295"/>
      <c r="E101" s="302"/>
      <c r="G101"/>
    </row>
    <row r="102" spans="3:7" s="39" customFormat="1">
      <c r="C102" s="295"/>
      <c r="E102" s="302"/>
      <c r="G102"/>
    </row>
    <row r="103" spans="3:7" s="39" customFormat="1">
      <c r="C103" s="295"/>
      <c r="E103" s="302"/>
      <c r="G103"/>
    </row>
    <row r="104" spans="3:7" s="39" customFormat="1">
      <c r="C104" s="295"/>
      <c r="E104" s="302"/>
      <c r="G104"/>
    </row>
    <row r="105" spans="3:7" s="39" customFormat="1">
      <c r="C105" s="295"/>
      <c r="E105" s="302"/>
      <c r="G105"/>
    </row>
    <row r="106" spans="3:7" s="39" customFormat="1">
      <c r="C106" s="295"/>
      <c r="E106" s="302"/>
      <c r="G106"/>
    </row>
    <row r="107" spans="3:7" s="39" customFormat="1">
      <c r="C107" s="295"/>
      <c r="E107" s="302"/>
      <c r="G107"/>
    </row>
    <row r="108" spans="3:7" s="39" customFormat="1">
      <c r="C108" s="295"/>
      <c r="E108" s="302"/>
      <c r="G108"/>
    </row>
    <row r="109" spans="3:7" s="39" customFormat="1">
      <c r="C109" s="295"/>
      <c r="E109" s="302"/>
      <c r="G109"/>
    </row>
    <row r="110" spans="3:7" s="39" customFormat="1">
      <c r="C110" s="295"/>
      <c r="E110" s="302"/>
      <c r="G110"/>
    </row>
    <row r="111" spans="3:7" s="39" customFormat="1">
      <c r="C111" s="295"/>
      <c r="E111" s="302"/>
      <c r="G111"/>
    </row>
    <row r="112" spans="3:7" s="39" customFormat="1">
      <c r="C112" s="295"/>
      <c r="E112" s="302"/>
      <c r="G112"/>
    </row>
    <row r="113" spans="3:7" s="39" customFormat="1">
      <c r="C113" s="295"/>
      <c r="E113" s="302"/>
      <c r="G113"/>
    </row>
    <row r="114" spans="3:7" s="39" customFormat="1">
      <c r="C114" s="295"/>
      <c r="E114" s="302"/>
      <c r="G114"/>
    </row>
    <row r="115" spans="3:7" s="39" customFormat="1">
      <c r="C115" s="295"/>
      <c r="E115" s="302"/>
      <c r="G115"/>
    </row>
    <row r="116" spans="3:7" s="39" customFormat="1">
      <c r="C116" s="295"/>
      <c r="E116" s="302"/>
      <c r="G116"/>
    </row>
    <row r="117" spans="3:7" s="39" customFormat="1">
      <c r="C117" s="295"/>
      <c r="E117" s="302"/>
      <c r="G117"/>
    </row>
    <row r="118" spans="3:7" s="39" customFormat="1">
      <c r="C118" s="295"/>
      <c r="E118" s="302"/>
      <c r="G118"/>
    </row>
    <row r="119" spans="3:7" s="39" customFormat="1">
      <c r="C119" s="295"/>
      <c r="E119" s="302"/>
      <c r="G119"/>
    </row>
    <row r="120" spans="3:7" s="39" customFormat="1">
      <c r="C120" s="295"/>
      <c r="E120" s="302"/>
      <c r="G120"/>
    </row>
    <row r="121" spans="3:7" s="39" customFormat="1">
      <c r="C121" s="295"/>
      <c r="E121" s="302"/>
      <c r="G121"/>
    </row>
    <row r="122" spans="3:7" s="39" customFormat="1">
      <c r="C122" s="295"/>
      <c r="E122" s="302"/>
      <c r="G122"/>
    </row>
    <row r="123" spans="3:7" s="39" customFormat="1">
      <c r="C123" s="295"/>
      <c r="E123" s="302"/>
      <c r="G123"/>
    </row>
    <row r="124" spans="3:7" s="39" customFormat="1">
      <c r="C124" s="295"/>
      <c r="E124" s="302"/>
      <c r="G124"/>
    </row>
    <row r="125" spans="3:7" s="39" customFormat="1">
      <c r="C125" s="295"/>
      <c r="E125" s="302"/>
      <c r="G125"/>
    </row>
    <row r="126" spans="3:7" s="39" customFormat="1">
      <c r="C126" s="295"/>
      <c r="E126" s="302"/>
      <c r="G126"/>
    </row>
    <row r="127" spans="3:7" s="39" customFormat="1">
      <c r="C127" s="295"/>
      <c r="E127" s="302"/>
      <c r="G127"/>
    </row>
    <row r="128" spans="3:7" s="39" customFormat="1">
      <c r="C128" s="295"/>
      <c r="E128" s="302"/>
      <c r="G128"/>
    </row>
    <row r="129" spans="3:7" s="39" customFormat="1">
      <c r="C129" s="295"/>
      <c r="E129" s="302"/>
      <c r="G129"/>
    </row>
    <row r="130" spans="3:7" s="39" customFormat="1">
      <c r="C130" s="295"/>
      <c r="E130" s="302"/>
      <c r="G130"/>
    </row>
    <row r="131" spans="3:7" s="39" customFormat="1">
      <c r="C131" s="295"/>
      <c r="E131" s="302"/>
      <c r="G131"/>
    </row>
    <row r="132" spans="3:7" s="39" customFormat="1">
      <c r="C132" s="295"/>
      <c r="E132" s="302"/>
      <c r="G132"/>
    </row>
    <row r="133" spans="3:7" s="39" customFormat="1">
      <c r="C133" s="295"/>
      <c r="E133" s="302"/>
      <c r="G133"/>
    </row>
    <row r="134" spans="3:7" s="39" customFormat="1">
      <c r="C134" s="295"/>
      <c r="E134" s="302"/>
      <c r="G134"/>
    </row>
    <row r="135" spans="3:7" s="39" customFormat="1">
      <c r="C135" s="295"/>
      <c r="E135" s="302"/>
      <c r="G135"/>
    </row>
    <row r="136" spans="3:7" s="39" customFormat="1">
      <c r="C136" s="295"/>
      <c r="E136" s="302"/>
      <c r="G136"/>
    </row>
    <row r="137" spans="3:7" s="39" customFormat="1">
      <c r="C137" s="295"/>
      <c r="E137" s="302"/>
      <c r="G137"/>
    </row>
    <row r="138" spans="3:7" s="39" customFormat="1">
      <c r="C138" s="295"/>
      <c r="E138" s="302"/>
      <c r="G138"/>
    </row>
    <row r="139" spans="3:7" s="39" customFormat="1">
      <c r="C139" s="295"/>
      <c r="E139" s="302"/>
      <c r="G139"/>
    </row>
    <row r="140" spans="3:7" s="39" customFormat="1">
      <c r="C140" s="295"/>
      <c r="E140" s="302"/>
      <c r="G140"/>
    </row>
    <row r="141" spans="3:7" s="39" customFormat="1">
      <c r="C141" s="295"/>
      <c r="E141" s="302"/>
      <c r="G141"/>
    </row>
    <row r="142" spans="3:7" s="39" customFormat="1">
      <c r="C142" s="295"/>
      <c r="E142" s="302"/>
      <c r="G142"/>
    </row>
    <row r="143" spans="3:7" s="39" customFormat="1">
      <c r="C143" s="295"/>
      <c r="E143" s="302"/>
      <c r="G143"/>
    </row>
    <row r="144" spans="3:7" s="39" customFormat="1">
      <c r="C144" s="295"/>
      <c r="E144" s="302"/>
      <c r="G144"/>
    </row>
    <row r="145" spans="3:7" s="39" customFormat="1">
      <c r="C145" s="295"/>
      <c r="E145" s="302"/>
      <c r="G145"/>
    </row>
    <row r="146" spans="3:7" s="39" customFormat="1">
      <c r="C146" s="295"/>
      <c r="E146" s="302"/>
      <c r="G146"/>
    </row>
    <row r="147" spans="3:7" s="39" customFormat="1">
      <c r="C147" s="295"/>
      <c r="E147" s="302"/>
      <c r="G147"/>
    </row>
    <row r="148" spans="3:7" s="39" customFormat="1">
      <c r="C148" s="295"/>
      <c r="E148" s="302"/>
      <c r="G148"/>
    </row>
    <row r="149" spans="3:7" s="39" customFormat="1">
      <c r="C149" s="295"/>
      <c r="E149" s="302"/>
      <c r="G149"/>
    </row>
    <row r="150" spans="3:7" s="39" customFormat="1">
      <c r="C150" s="295"/>
      <c r="E150" s="302"/>
      <c r="G150"/>
    </row>
    <row r="151" spans="3:7" s="39" customFormat="1">
      <c r="C151" s="295"/>
      <c r="E151" s="302"/>
      <c r="G151"/>
    </row>
    <row r="152" spans="3:7" s="39" customFormat="1">
      <c r="C152" s="295"/>
      <c r="E152" s="302"/>
      <c r="G152"/>
    </row>
    <row r="153" spans="3:7" s="39" customFormat="1">
      <c r="C153" s="295"/>
      <c r="E153" s="302"/>
      <c r="G153"/>
    </row>
    <row r="154" spans="3:7" s="39" customFormat="1">
      <c r="C154" s="295"/>
      <c r="E154" s="302"/>
      <c r="G154"/>
    </row>
    <row r="155" spans="3:7" s="39" customFormat="1">
      <c r="C155" s="295"/>
      <c r="E155" s="302"/>
      <c r="G155"/>
    </row>
    <row r="156" spans="3:7" s="39" customFormat="1">
      <c r="C156" s="295"/>
      <c r="E156" s="302"/>
      <c r="G156"/>
    </row>
    <row r="157" spans="3:7" s="39" customFormat="1">
      <c r="C157" s="295"/>
      <c r="E157" s="302"/>
      <c r="G157"/>
    </row>
    <row r="158" spans="3:7" s="39" customFormat="1">
      <c r="C158" s="295"/>
      <c r="E158" s="302"/>
      <c r="G158"/>
    </row>
    <row r="159" spans="3:7" s="39" customFormat="1">
      <c r="C159" s="295"/>
      <c r="E159" s="302"/>
      <c r="G159"/>
    </row>
    <row r="160" spans="3:7" s="39" customFormat="1">
      <c r="C160" s="295"/>
      <c r="E160" s="302"/>
      <c r="G160"/>
    </row>
    <row r="161" spans="3:7" s="39" customFormat="1">
      <c r="C161" s="295"/>
      <c r="E161" s="302"/>
      <c r="G161"/>
    </row>
    <row r="162" spans="3:7" s="39" customFormat="1">
      <c r="C162" s="295"/>
      <c r="E162" s="302"/>
      <c r="G162"/>
    </row>
    <row r="163" spans="3:7" s="39" customFormat="1">
      <c r="C163" s="295"/>
      <c r="E163" s="302"/>
      <c r="G163"/>
    </row>
    <row r="164" spans="3:7" s="39" customFormat="1">
      <c r="C164" s="295"/>
      <c r="E164" s="302"/>
      <c r="G164"/>
    </row>
    <row r="165" spans="3:7" s="39" customFormat="1">
      <c r="C165" s="295"/>
      <c r="E165" s="302"/>
      <c r="G165"/>
    </row>
    <row r="166" spans="3:7" s="39" customFormat="1">
      <c r="C166" s="295"/>
      <c r="E166" s="302"/>
      <c r="G166"/>
    </row>
    <row r="167" spans="3:7" s="39" customFormat="1">
      <c r="C167" s="295"/>
      <c r="E167" s="302"/>
      <c r="G167"/>
    </row>
    <row r="168" spans="3:7" s="39" customFormat="1">
      <c r="C168" s="295"/>
      <c r="E168" s="302"/>
      <c r="G168"/>
    </row>
    <row r="169" spans="3:7" s="39" customFormat="1">
      <c r="C169" s="295"/>
      <c r="E169" s="302"/>
      <c r="G169"/>
    </row>
  </sheetData>
  <sheetProtection algorithmName="SHA-512" hashValue="/uLhITw2UrGnouXzlIi+vyEIzb6l9YVjnjgleeNWT24z3RJEk72lQcQMJ1Y1ME57//2uLrEmVc+Kkz8fbI0zMQ==" saltValue="6rK98yK911/OEeNIJUHCNw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B1:N143"/>
  <sheetViews>
    <sheetView showGridLines="0" zoomScaleNormal="100" workbookViewId="0">
      <selection activeCell="I10" sqref="I10"/>
    </sheetView>
  </sheetViews>
  <sheetFormatPr defaultRowHeight="15"/>
  <cols>
    <col min="1" max="1" width="1.85546875" customWidth="1"/>
    <col min="2" max="2" width="7.7109375" customWidth="1"/>
    <col min="3" max="3" width="10.42578125" style="12" customWidth="1"/>
    <col min="4" max="4" width="32.28515625" customWidth="1"/>
    <col min="5" max="8" width="14.28515625" customWidth="1"/>
    <col min="9" max="10" width="14.28515625" style="38" customWidth="1"/>
    <col min="11" max="11" width="14.28515625" style="303" customWidth="1"/>
    <col min="12" max="12" width="12.7109375" customWidth="1"/>
    <col min="13" max="13" width="12.7109375" style="38" customWidth="1"/>
    <col min="14" max="14" width="20.28515625" style="38" customWidth="1"/>
    <col min="15" max="17" width="16" customWidth="1"/>
  </cols>
  <sheetData>
    <row r="1" spans="2:14" ht="9" customHeight="1">
      <c r="K1" s="38"/>
    </row>
    <row r="2" spans="2:14">
      <c r="B2" s="927" t="s">
        <v>331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9"/>
    </row>
    <row r="3" spans="2:14" ht="45">
      <c r="B3" s="254" t="s">
        <v>235</v>
      </c>
      <c r="C3" s="254" t="s">
        <v>41</v>
      </c>
      <c r="D3" s="254" t="s">
        <v>42</v>
      </c>
      <c r="E3" s="254" t="s">
        <v>72</v>
      </c>
      <c r="F3" s="254" t="s">
        <v>137</v>
      </c>
      <c r="G3" s="254" t="s">
        <v>441</v>
      </c>
      <c r="H3" s="254" t="s">
        <v>397</v>
      </c>
      <c r="I3" s="254" t="s">
        <v>605</v>
      </c>
      <c r="J3" s="254" t="s">
        <v>606</v>
      </c>
      <c r="K3" s="254" t="s">
        <v>609</v>
      </c>
      <c r="L3" s="401" t="s">
        <v>442</v>
      </c>
      <c r="M3" s="255" t="s">
        <v>410</v>
      </c>
      <c r="N3" s="254" t="s">
        <v>443</v>
      </c>
    </row>
    <row r="4" spans="2:14">
      <c r="C4"/>
      <c r="I4"/>
      <c r="J4"/>
      <c r="K4"/>
      <c r="M4" s="304">
        <f>SUM(M5:M250)</f>
        <v>0</v>
      </c>
      <c r="N4" s="304">
        <f>SUM(N5:N250)</f>
        <v>0</v>
      </c>
    </row>
    <row r="5" spans="2:14" ht="3.75" customHeight="1">
      <c r="C5"/>
      <c r="I5"/>
      <c r="J5"/>
      <c r="K5"/>
      <c r="M5"/>
      <c r="N5"/>
    </row>
    <row r="6" spans="2:14">
      <c r="B6" s="249">
        <v>1</v>
      </c>
      <c r="C6" s="249"/>
      <c r="D6" s="381" t="s">
        <v>616</v>
      </c>
      <c r="E6" s="249" t="s">
        <v>611</v>
      </c>
      <c r="F6" s="249"/>
      <c r="G6" s="249"/>
      <c r="H6" s="451">
        <v>1</v>
      </c>
      <c r="I6" s="256"/>
      <c r="J6" s="625" t="str">
        <f>IFERROR(
I6+
I6*('Mão de Obra'!$D$155)+
I6*(1+'Mão de Obra'!$D$155)*('Mão de Obra'!$D$156)+
I6*(1+'Mão de Obra'!$D$155)*(1+'Mão de Obra'!$D$156)*'Mão de Obra'!$D$160/(1-SUM('Mão de Obra'!$D$160:$D$165,'Mão de Obra'!$E$163))+
I6*(1+'Mão de Obra'!$D$155)*(1+'Mão de Obra'!$D$156)*'Mão de Obra'!$D$161/(1-SUM('Mão de Obra'!$D$160:$D$165,'Mão de Obra'!$E$163))+
I6*(1+'Mão de Obra'!$D$155)*(1+'Mão de Obra'!$D$156)*(SUMPRODUCT('Mão de Obra'!$E$29:$XX$29,'Mão de Obra'!$E$163:$XX$163)/SUM('Mão de Obra'!$E$29:$XX$29))/(1-SUM('Mão de Obra'!$D$160:$D$165,'Mão de Obra'!$E$163))+
I6*(1+'Mão de Obra'!$D$155)*(1+'Mão de Obra'!$D$156)*'Mão de Obra'!$D$165/(1-SUM('Mão de Obra'!$D$160:$D$165,(SUMPRODUCT('Mão de Obra'!$E$29:$XX$29,'Mão de Obra'!$E$163:$XX$163)/SUM('Mão de Obra'!$E$29:$XX$29)))),"")</f>
        <v/>
      </c>
      <c r="K6" s="630"/>
      <c r="L6" s="629">
        <f>IF(K6="",1/Resumo!$J$6,1/K6)</f>
        <v>0.16666666666666666</v>
      </c>
      <c r="M6" s="625" t="str">
        <f>IFERROR(N6/'Mão de Obra'!$D$12,"")</f>
        <v/>
      </c>
      <c r="N6" s="625" t="str">
        <f>IFERROR(IF(ISNUMBER(L6),L6*Resumo!$J$6,1)*J6*H6,"")</f>
        <v/>
      </c>
    </row>
    <row r="7" spans="2:14">
      <c r="B7" s="249">
        <v>2</v>
      </c>
      <c r="C7" s="249"/>
      <c r="D7" s="381"/>
      <c r="E7" s="249"/>
      <c r="F7" s="249"/>
      <c r="G7" s="249"/>
      <c r="H7" s="451"/>
      <c r="I7" s="256"/>
      <c r="J7" s="625" t="str">
        <f>IFERROR(
I7+
I7*('Mão de Obra'!$D$155)+
I7*(1+'Mão de Obra'!$D$155)*('Mão de Obra'!$D$156)+
I7*(1+'Mão de Obra'!$D$155)*(1+'Mão de Obra'!$D$156)*'Mão de Obra'!$D$160/(1-SUM('Mão de Obra'!$D$160:$D$165,'Mão de Obra'!$E$163))+
I7*(1+'Mão de Obra'!$D$155)*(1+'Mão de Obra'!$D$156)*'Mão de Obra'!$D$161/(1-SUM('Mão de Obra'!$D$160:$D$165,'Mão de Obra'!$E$163))+
I7*(1+'Mão de Obra'!$D$155)*(1+'Mão de Obra'!$D$156)*(SUMPRODUCT('Mão de Obra'!$E$29:$XX$29,'Mão de Obra'!$E$163:$XX$163)/SUM('Mão de Obra'!$E$29:$XX$29))/(1-SUM('Mão de Obra'!$D$160:$D$165,'Mão de Obra'!$E$163))+
I7*(1+'Mão de Obra'!$D$155)*(1+'Mão de Obra'!$D$156)*'Mão de Obra'!$D$165/(1-SUM('Mão de Obra'!$D$160:$D$165,(SUMPRODUCT('Mão de Obra'!$E$29:$XX$29,'Mão de Obra'!$E$163:$XX$163)/SUM('Mão de Obra'!$E$29:$XX$29)))),"")</f>
        <v/>
      </c>
      <c r="K7" s="630"/>
      <c r="L7" s="629">
        <f>IF(K7="",1/Resumo!$J$6,1/K7)</f>
        <v>0.16666666666666666</v>
      </c>
      <c r="M7" s="625" t="str">
        <f>IFERROR(N7/'Mão de Obra'!$D$12,"")</f>
        <v/>
      </c>
      <c r="N7" s="625" t="str">
        <f>IFERROR(IF(ISNUMBER(L7),L7*Resumo!$J$6,1)*J7*H7,"")</f>
        <v/>
      </c>
    </row>
    <row r="8" spans="2:14">
      <c r="B8" s="249">
        <v>3</v>
      </c>
      <c r="C8" s="249"/>
      <c r="D8" s="381"/>
      <c r="E8" s="249"/>
      <c r="F8" s="249"/>
      <c r="G8" s="249"/>
      <c r="H8" s="451"/>
      <c r="I8" s="256"/>
      <c r="J8" s="625" t="str">
        <f>IFERROR(
I8+
I8*('Mão de Obra'!$D$155)+
I8*(1+'Mão de Obra'!$D$155)*('Mão de Obra'!$D$156)+
I8*(1+'Mão de Obra'!$D$155)*(1+'Mão de Obra'!$D$156)*'Mão de Obra'!$D$160/(1-SUM('Mão de Obra'!$D$160:$D$165,'Mão de Obra'!$E$163))+
I8*(1+'Mão de Obra'!$D$155)*(1+'Mão de Obra'!$D$156)*'Mão de Obra'!$D$161/(1-SUM('Mão de Obra'!$D$160:$D$165,'Mão de Obra'!$E$163))+
I8*(1+'Mão de Obra'!$D$155)*(1+'Mão de Obra'!$D$156)*(SUMPRODUCT('Mão de Obra'!$E$29:$XX$29,'Mão de Obra'!$E$163:$XX$163)/SUM('Mão de Obra'!$E$29:$XX$29))/(1-SUM('Mão de Obra'!$D$160:$D$165,'Mão de Obra'!$E$163))+
I8*(1+'Mão de Obra'!$D$155)*(1+'Mão de Obra'!$D$156)*'Mão de Obra'!$D$165/(1-SUM('Mão de Obra'!$D$160:$D$165,(SUMPRODUCT('Mão de Obra'!$E$29:$XX$29,'Mão de Obra'!$E$163:$XX$163)/SUM('Mão de Obra'!$E$29:$XX$29)))),"")</f>
        <v/>
      </c>
      <c r="K8" s="630"/>
      <c r="L8" s="629">
        <f>IF(K8="",1/Resumo!$J$6,1/K8)</f>
        <v>0.16666666666666666</v>
      </c>
      <c r="M8" s="625" t="str">
        <f>IFERROR(N8/'Mão de Obra'!$D$12,"")</f>
        <v/>
      </c>
      <c r="N8" s="625" t="str">
        <f>IFERROR(IF(ISNUMBER(L8),L8*Resumo!$J$6,1)*J8*H8,"")</f>
        <v/>
      </c>
    </row>
    <row r="9" spans="2:14">
      <c r="B9" s="249">
        <v>4</v>
      </c>
      <c r="C9" s="249"/>
      <c r="D9" s="381"/>
      <c r="E9" s="249"/>
      <c r="F9" s="249"/>
      <c r="G9" s="249"/>
      <c r="H9" s="451"/>
      <c r="I9" s="256"/>
      <c r="J9" s="625" t="str">
        <f>IFERROR(
I9+
I9*('Mão de Obra'!$D$155)+
I9*(1+'Mão de Obra'!$D$155)*('Mão de Obra'!$D$156)+
I9*(1+'Mão de Obra'!$D$155)*(1+'Mão de Obra'!$D$156)*'Mão de Obra'!$D$160/(1-SUM('Mão de Obra'!$D$160:$D$165,'Mão de Obra'!$E$163))+
I9*(1+'Mão de Obra'!$D$155)*(1+'Mão de Obra'!$D$156)*'Mão de Obra'!$D$161/(1-SUM('Mão de Obra'!$D$160:$D$165,'Mão de Obra'!$E$163))+
I9*(1+'Mão de Obra'!$D$155)*(1+'Mão de Obra'!$D$156)*(SUMPRODUCT('Mão de Obra'!$E$29:$XX$29,'Mão de Obra'!$E$163:$XX$163)/SUM('Mão de Obra'!$E$29:$XX$29))/(1-SUM('Mão de Obra'!$D$160:$D$165,'Mão de Obra'!$E$163))+
I9*(1+'Mão de Obra'!$D$155)*(1+'Mão de Obra'!$D$156)*'Mão de Obra'!$D$165/(1-SUM('Mão de Obra'!$D$160:$D$165,(SUMPRODUCT('Mão de Obra'!$E$29:$XX$29,'Mão de Obra'!$E$163:$XX$163)/SUM('Mão de Obra'!$E$29:$XX$29)))),"")</f>
        <v/>
      </c>
      <c r="K9" s="630"/>
      <c r="L9" s="629">
        <f>IF(K9="",1/Resumo!$J$6,1/K9)</f>
        <v>0.16666666666666666</v>
      </c>
      <c r="M9" s="625" t="str">
        <f>IFERROR(N9/'Mão de Obra'!$D$12,"")</f>
        <v/>
      </c>
      <c r="N9" s="625" t="str">
        <f>IFERROR(IF(ISNUMBER(L9),L9*Resumo!$J$6,1)*J9*H9,"")</f>
        <v/>
      </c>
    </row>
    <row r="10" spans="2:14">
      <c r="B10" s="249">
        <v>5</v>
      </c>
      <c r="C10" s="249"/>
      <c r="D10" s="381"/>
      <c r="E10" s="249"/>
      <c r="F10" s="249"/>
      <c r="G10" s="249"/>
      <c r="H10" s="451"/>
      <c r="I10" s="256"/>
      <c r="J10" s="625" t="str">
        <f>IFERROR(
I10+
I10*('Mão de Obra'!$D$155)+
I10*(1+'Mão de Obra'!$D$155)*('Mão de Obra'!$D$156)+
I10*(1+'Mão de Obra'!$D$155)*(1+'Mão de Obra'!$D$156)*'Mão de Obra'!$D$160/(1-SUM('Mão de Obra'!$D$160:$D$165,'Mão de Obra'!$E$163))+
I10*(1+'Mão de Obra'!$D$155)*(1+'Mão de Obra'!$D$156)*'Mão de Obra'!$D$161/(1-SUM('Mão de Obra'!$D$160:$D$165,'Mão de Obra'!$E$163))+
I10*(1+'Mão de Obra'!$D$155)*(1+'Mão de Obra'!$D$156)*(SUMPRODUCT('Mão de Obra'!$E$29:$XX$29,'Mão de Obra'!$E$163:$XX$163)/SUM('Mão de Obra'!$E$29:$XX$29))/(1-SUM('Mão de Obra'!$D$160:$D$165,'Mão de Obra'!$E$163))+
I10*(1+'Mão de Obra'!$D$155)*(1+'Mão de Obra'!$D$156)*'Mão de Obra'!$D$165/(1-SUM('Mão de Obra'!$D$160:$D$165,(SUMPRODUCT('Mão de Obra'!$E$29:$XX$29,'Mão de Obra'!$E$163:$XX$163)/SUM('Mão de Obra'!$E$29:$XX$29)))),"")</f>
        <v/>
      </c>
      <c r="K10" s="630"/>
      <c r="L10" s="629">
        <f>IF(K10="",1/Resumo!$J$6,1/K10)</f>
        <v>0.16666666666666666</v>
      </c>
      <c r="M10" s="625" t="str">
        <f>IFERROR(N10/'Mão de Obra'!$D$12,"")</f>
        <v/>
      </c>
      <c r="N10" s="625" t="str">
        <f>IFERROR(IF(ISNUMBER(L10),L10*Resumo!$J$6,1)*J10*H10,"")</f>
        <v/>
      </c>
    </row>
    <row r="11" spans="2:14">
      <c r="B11" s="249">
        <v>6</v>
      </c>
      <c r="C11" s="249"/>
      <c r="D11" s="381"/>
      <c r="E11" s="249"/>
      <c r="F11" s="249"/>
      <c r="G11" s="249"/>
      <c r="H11" s="451"/>
      <c r="I11" s="256"/>
      <c r="J11" s="625" t="str">
        <f>IFERROR(
I11+
I11*('Mão de Obra'!$D$155)+
I11*(1+'Mão de Obra'!$D$155)*('Mão de Obra'!$D$156)+
I11*(1+'Mão de Obra'!$D$155)*(1+'Mão de Obra'!$D$156)*'Mão de Obra'!$D$160/(1-SUM('Mão de Obra'!$D$160:$D$165,'Mão de Obra'!$E$163))+
I11*(1+'Mão de Obra'!$D$155)*(1+'Mão de Obra'!$D$156)*'Mão de Obra'!$D$161/(1-SUM('Mão de Obra'!$D$160:$D$165,'Mão de Obra'!$E$163))+
I11*(1+'Mão de Obra'!$D$155)*(1+'Mão de Obra'!$D$156)*(SUMPRODUCT('Mão de Obra'!$E$29:$XX$29,'Mão de Obra'!$E$163:$XX$163)/SUM('Mão de Obra'!$E$29:$XX$29))/(1-SUM('Mão de Obra'!$D$160:$D$165,'Mão de Obra'!$E$163))+
I11*(1+'Mão de Obra'!$D$155)*(1+'Mão de Obra'!$D$156)*'Mão de Obra'!$D$165/(1-SUM('Mão de Obra'!$D$160:$D$165,(SUMPRODUCT('Mão de Obra'!$E$29:$XX$29,'Mão de Obra'!$E$163:$XX$163)/SUM('Mão de Obra'!$E$29:$XX$29)))),"")</f>
        <v/>
      </c>
      <c r="K11" s="630"/>
      <c r="L11" s="629">
        <f>IF(K11="",1/Resumo!$J$6,1/K11)</f>
        <v>0.16666666666666666</v>
      </c>
      <c r="M11" s="625" t="str">
        <f>IFERROR(N11/'Mão de Obra'!$D$12,"")</f>
        <v/>
      </c>
      <c r="N11" s="625" t="str">
        <f>IFERROR(IF(ISNUMBER(L11),L11*Resumo!$J$6,1)*J11*H11,"")</f>
        <v/>
      </c>
    </row>
    <row r="12" spans="2:14">
      <c r="B12" s="249">
        <v>7</v>
      </c>
      <c r="C12" s="249"/>
      <c r="D12" s="381"/>
      <c r="E12" s="249"/>
      <c r="F12" s="249"/>
      <c r="G12" s="249"/>
      <c r="H12" s="451"/>
      <c r="I12" s="256"/>
      <c r="J12" s="625" t="str">
        <f>IFERROR(
I12+
I12*('Mão de Obra'!$D$155)+
I12*(1+'Mão de Obra'!$D$155)*('Mão de Obra'!$D$156)+
I12*(1+'Mão de Obra'!$D$155)*(1+'Mão de Obra'!$D$156)*'Mão de Obra'!$D$160/(1-SUM('Mão de Obra'!$D$160:$D$165,'Mão de Obra'!$E$163))+
I12*(1+'Mão de Obra'!$D$155)*(1+'Mão de Obra'!$D$156)*'Mão de Obra'!$D$161/(1-SUM('Mão de Obra'!$D$160:$D$165,'Mão de Obra'!$E$163))+
I12*(1+'Mão de Obra'!$D$155)*(1+'Mão de Obra'!$D$156)*(SUMPRODUCT('Mão de Obra'!$E$29:$XX$29,'Mão de Obra'!$E$163:$XX$163)/SUM('Mão de Obra'!$E$29:$XX$29))/(1-SUM('Mão de Obra'!$D$160:$D$165,'Mão de Obra'!$E$163))+
I12*(1+'Mão de Obra'!$D$155)*(1+'Mão de Obra'!$D$156)*'Mão de Obra'!$D$165/(1-SUM('Mão de Obra'!$D$160:$D$165,(SUMPRODUCT('Mão de Obra'!$E$29:$XX$29,'Mão de Obra'!$E$163:$XX$163)/SUM('Mão de Obra'!$E$29:$XX$29)))),"")</f>
        <v/>
      </c>
      <c r="K12" s="630"/>
      <c r="L12" s="629">
        <f>IF(K12="",1/Resumo!$J$6,1/K12)</f>
        <v>0.16666666666666666</v>
      </c>
      <c r="M12" s="625" t="str">
        <f>IFERROR(N12/'Mão de Obra'!$D$12,"")</f>
        <v/>
      </c>
      <c r="N12" s="625" t="str">
        <f>IFERROR(IF(ISNUMBER(L12),L12*Resumo!$J$6,1)*J12*H12,"")</f>
        <v/>
      </c>
    </row>
    <row r="13" spans="2:14">
      <c r="B13" s="249">
        <v>8</v>
      </c>
      <c r="C13" s="249"/>
      <c r="D13" s="381"/>
      <c r="E13" s="249"/>
      <c r="F13" s="249"/>
      <c r="G13" s="249"/>
      <c r="H13" s="451"/>
      <c r="I13" s="256"/>
      <c r="J13" s="625" t="str">
        <f>IFERROR(
I13+
I13*('Mão de Obra'!$D$155)+
I13*(1+'Mão de Obra'!$D$155)*('Mão de Obra'!$D$156)+
I13*(1+'Mão de Obra'!$D$155)*(1+'Mão de Obra'!$D$156)*'Mão de Obra'!$D$160/(1-SUM('Mão de Obra'!$D$160:$D$165,'Mão de Obra'!$E$163))+
I13*(1+'Mão de Obra'!$D$155)*(1+'Mão de Obra'!$D$156)*'Mão de Obra'!$D$161/(1-SUM('Mão de Obra'!$D$160:$D$165,'Mão de Obra'!$E$163))+
I13*(1+'Mão de Obra'!$D$155)*(1+'Mão de Obra'!$D$156)*(SUMPRODUCT('Mão de Obra'!$E$29:$XX$29,'Mão de Obra'!$E$163:$XX$163)/SUM('Mão de Obra'!$E$29:$XX$29))/(1-SUM('Mão de Obra'!$D$160:$D$165,'Mão de Obra'!$E$163))+
I13*(1+'Mão de Obra'!$D$155)*(1+'Mão de Obra'!$D$156)*'Mão de Obra'!$D$165/(1-SUM('Mão de Obra'!$D$160:$D$165,(SUMPRODUCT('Mão de Obra'!$E$29:$XX$29,'Mão de Obra'!$E$163:$XX$163)/SUM('Mão de Obra'!$E$29:$XX$29)))),"")</f>
        <v/>
      </c>
      <c r="K13" s="630"/>
      <c r="L13" s="629">
        <f>IF(K13="",1/Resumo!$J$6,1/K13)</f>
        <v>0.16666666666666666</v>
      </c>
      <c r="M13" s="625" t="str">
        <f>IFERROR(N13/'Mão de Obra'!$D$12,"")</f>
        <v/>
      </c>
      <c r="N13" s="625" t="str">
        <f>IFERROR(IF(ISNUMBER(L13),L13*Resumo!$J$6,1)*J13*H13,"")</f>
        <v/>
      </c>
    </row>
    <row r="14" spans="2:14">
      <c r="B14" s="249">
        <v>9</v>
      </c>
      <c r="C14" s="249"/>
      <c r="D14" s="381"/>
      <c r="E14" s="249"/>
      <c r="F14" s="249"/>
      <c r="G14" s="249"/>
      <c r="H14" s="451"/>
      <c r="I14" s="256"/>
      <c r="J14" s="625" t="str">
        <f>IFERROR(
I14+
I14*('Mão de Obra'!$D$155)+
I14*(1+'Mão de Obra'!$D$155)*('Mão de Obra'!$D$156)+
I14*(1+'Mão de Obra'!$D$155)*(1+'Mão de Obra'!$D$156)*'Mão de Obra'!$D$160/(1-SUM('Mão de Obra'!$D$160:$D$165,'Mão de Obra'!$E$163))+
I14*(1+'Mão de Obra'!$D$155)*(1+'Mão de Obra'!$D$156)*'Mão de Obra'!$D$161/(1-SUM('Mão de Obra'!$D$160:$D$165,'Mão de Obra'!$E$163))+
I14*(1+'Mão de Obra'!$D$155)*(1+'Mão de Obra'!$D$156)*(SUMPRODUCT('Mão de Obra'!$E$29:$XX$29,'Mão de Obra'!$E$163:$XX$163)/SUM('Mão de Obra'!$E$29:$XX$29))/(1-SUM('Mão de Obra'!$D$160:$D$165,'Mão de Obra'!$E$163))+
I14*(1+'Mão de Obra'!$D$155)*(1+'Mão de Obra'!$D$156)*'Mão de Obra'!$D$165/(1-SUM('Mão de Obra'!$D$160:$D$165,(SUMPRODUCT('Mão de Obra'!$E$29:$XX$29,'Mão de Obra'!$E$163:$XX$163)/SUM('Mão de Obra'!$E$29:$XX$29)))),"")</f>
        <v/>
      </c>
      <c r="K14" s="630"/>
      <c r="L14" s="629">
        <f>IF(K14="",1/Resumo!$J$6,1/K14)</f>
        <v>0.16666666666666666</v>
      </c>
      <c r="M14" s="625" t="str">
        <f>IFERROR(N14/'Mão de Obra'!$D$12,"")</f>
        <v/>
      </c>
      <c r="N14" s="625" t="str">
        <f>IFERROR(IF(ISNUMBER(L14),L14*Resumo!$J$6,1)*J14*H14,"")</f>
        <v/>
      </c>
    </row>
    <row r="15" spans="2:14">
      <c r="B15" s="249">
        <v>10</v>
      </c>
      <c r="C15" s="249"/>
      <c r="D15" s="381"/>
      <c r="E15" s="249"/>
      <c r="F15" s="249"/>
      <c r="G15" s="249"/>
      <c r="H15" s="451"/>
      <c r="I15" s="256"/>
      <c r="J15" s="625" t="str">
        <f>IFERROR(
I15+
I15*('Mão de Obra'!$D$155)+
I15*(1+'Mão de Obra'!$D$155)*('Mão de Obra'!$D$156)+
I15*(1+'Mão de Obra'!$D$155)*(1+'Mão de Obra'!$D$156)*'Mão de Obra'!$D$160/(1-SUM('Mão de Obra'!$D$160:$D$165,'Mão de Obra'!$E$163))+
I15*(1+'Mão de Obra'!$D$155)*(1+'Mão de Obra'!$D$156)*'Mão de Obra'!$D$161/(1-SUM('Mão de Obra'!$D$160:$D$165,'Mão de Obra'!$E$163))+
I15*(1+'Mão de Obra'!$D$155)*(1+'Mão de Obra'!$D$156)*(SUMPRODUCT('Mão de Obra'!$E$29:$XX$29,'Mão de Obra'!$E$163:$XX$163)/SUM('Mão de Obra'!$E$29:$XX$29))/(1-SUM('Mão de Obra'!$D$160:$D$165,'Mão de Obra'!$E$163))+
I15*(1+'Mão de Obra'!$D$155)*(1+'Mão de Obra'!$D$156)*'Mão de Obra'!$D$165/(1-SUM('Mão de Obra'!$D$160:$D$165,(SUMPRODUCT('Mão de Obra'!$E$29:$XX$29,'Mão de Obra'!$E$163:$XX$163)/SUM('Mão de Obra'!$E$29:$XX$29)))),"")</f>
        <v/>
      </c>
      <c r="K15" s="630"/>
      <c r="L15" s="629">
        <f>IF(K15="",1/Resumo!$J$6,1/K15)</f>
        <v>0.16666666666666666</v>
      </c>
      <c r="M15" s="625" t="str">
        <f>IFERROR(N15/'Mão de Obra'!$D$12,"")</f>
        <v/>
      </c>
      <c r="N15" s="625" t="str">
        <f>IFERROR(IF(ISNUMBER(L15),L15*Resumo!$J$6,1)*J15*H15,"")</f>
        <v/>
      </c>
    </row>
    <row r="16" spans="2:14">
      <c r="B16" s="249">
        <v>11</v>
      </c>
      <c r="C16" s="249"/>
      <c r="D16" s="381"/>
      <c r="E16" s="249"/>
      <c r="F16" s="249"/>
      <c r="G16" s="249"/>
      <c r="H16" s="451"/>
      <c r="I16" s="256"/>
      <c r="J16" s="625" t="str">
        <f>IFERROR(
I16+
I16*('Mão de Obra'!$D$155)+
I16*(1+'Mão de Obra'!$D$155)*('Mão de Obra'!$D$156)+
I16*(1+'Mão de Obra'!$D$155)*(1+'Mão de Obra'!$D$156)*'Mão de Obra'!$D$160/(1-SUM('Mão de Obra'!$D$160:$D$165,'Mão de Obra'!$E$163))+
I16*(1+'Mão de Obra'!$D$155)*(1+'Mão de Obra'!$D$156)*'Mão de Obra'!$D$161/(1-SUM('Mão de Obra'!$D$160:$D$165,'Mão de Obra'!$E$163))+
I16*(1+'Mão de Obra'!$D$155)*(1+'Mão de Obra'!$D$156)*(SUMPRODUCT('Mão de Obra'!$E$29:$XX$29,'Mão de Obra'!$E$163:$XX$163)/SUM('Mão de Obra'!$E$29:$XX$29))/(1-SUM('Mão de Obra'!$D$160:$D$165,'Mão de Obra'!$E$163))+
I16*(1+'Mão de Obra'!$D$155)*(1+'Mão de Obra'!$D$156)*'Mão de Obra'!$D$165/(1-SUM('Mão de Obra'!$D$160:$D$165,(SUMPRODUCT('Mão de Obra'!$E$29:$XX$29,'Mão de Obra'!$E$163:$XX$163)/SUM('Mão de Obra'!$E$29:$XX$29)))),"")</f>
        <v/>
      </c>
      <c r="K16" s="630"/>
      <c r="L16" s="629">
        <f>IF(K16="",1/Resumo!$J$6,1/K16)</f>
        <v>0.16666666666666666</v>
      </c>
      <c r="M16" s="625" t="str">
        <f>IFERROR(N16/'Mão de Obra'!$D$12,"")</f>
        <v/>
      </c>
      <c r="N16" s="625" t="str">
        <f>IFERROR(IF(ISNUMBER(L16),L16*Resumo!$J$6,1)*J16*H16,"")</f>
        <v/>
      </c>
    </row>
    <row r="17" spans="2:14">
      <c r="B17" s="249">
        <v>12</v>
      </c>
      <c r="C17" s="249"/>
      <c r="D17" s="381"/>
      <c r="E17" s="249"/>
      <c r="F17" s="249"/>
      <c r="G17" s="249"/>
      <c r="H17" s="451"/>
      <c r="I17" s="256"/>
      <c r="J17" s="625" t="str">
        <f>IFERROR(
I17+
I17*('Mão de Obra'!$D$155)+
I17*(1+'Mão de Obra'!$D$155)*('Mão de Obra'!$D$156)+
I17*(1+'Mão de Obra'!$D$155)*(1+'Mão de Obra'!$D$156)*'Mão de Obra'!$D$160/(1-SUM('Mão de Obra'!$D$160:$D$165,'Mão de Obra'!$E$163))+
I17*(1+'Mão de Obra'!$D$155)*(1+'Mão de Obra'!$D$156)*'Mão de Obra'!$D$161/(1-SUM('Mão de Obra'!$D$160:$D$165,'Mão de Obra'!$E$163))+
I17*(1+'Mão de Obra'!$D$155)*(1+'Mão de Obra'!$D$156)*(SUMPRODUCT('Mão de Obra'!$E$29:$XX$29,'Mão de Obra'!$E$163:$XX$163)/SUM('Mão de Obra'!$E$29:$XX$29))/(1-SUM('Mão de Obra'!$D$160:$D$165,'Mão de Obra'!$E$163))+
I17*(1+'Mão de Obra'!$D$155)*(1+'Mão de Obra'!$D$156)*'Mão de Obra'!$D$165/(1-SUM('Mão de Obra'!$D$160:$D$165,(SUMPRODUCT('Mão de Obra'!$E$29:$XX$29,'Mão de Obra'!$E$163:$XX$163)/SUM('Mão de Obra'!$E$29:$XX$29)))),"")</f>
        <v/>
      </c>
      <c r="K17" s="630"/>
      <c r="L17" s="629">
        <f>IF(K17="",1/Resumo!$J$6,1/K17)</f>
        <v>0.16666666666666666</v>
      </c>
      <c r="M17" s="625" t="str">
        <f>IFERROR(N17/'Mão de Obra'!$D$12,"")</f>
        <v/>
      </c>
      <c r="N17" s="625" t="str">
        <f>IFERROR(IF(ISNUMBER(L17),L17*Resumo!$J$6,1)*J17*H17,"")</f>
        <v/>
      </c>
    </row>
    <row r="18" spans="2:14">
      <c r="B18" s="249">
        <v>13</v>
      </c>
      <c r="C18" s="249"/>
      <c r="D18" s="381"/>
      <c r="E18" s="249"/>
      <c r="F18" s="249"/>
      <c r="G18" s="249"/>
      <c r="H18" s="451"/>
      <c r="I18" s="256"/>
      <c r="J18" s="625" t="str">
        <f>IFERROR(
I18+
I18*('Mão de Obra'!$D$155)+
I18*(1+'Mão de Obra'!$D$155)*('Mão de Obra'!$D$156)+
I18*(1+'Mão de Obra'!$D$155)*(1+'Mão de Obra'!$D$156)*'Mão de Obra'!$D$160/(1-SUM('Mão de Obra'!$D$160:$D$165,'Mão de Obra'!$E$163))+
I18*(1+'Mão de Obra'!$D$155)*(1+'Mão de Obra'!$D$156)*'Mão de Obra'!$D$161/(1-SUM('Mão de Obra'!$D$160:$D$165,'Mão de Obra'!$E$163))+
I18*(1+'Mão de Obra'!$D$155)*(1+'Mão de Obra'!$D$156)*(SUMPRODUCT('Mão de Obra'!$E$29:$XX$29,'Mão de Obra'!$E$163:$XX$163)/SUM('Mão de Obra'!$E$29:$XX$29))/(1-SUM('Mão de Obra'!$D$160:$D$165,'Mão de Obra'!$E$163))+
I18*(1+'Mão de Obra'!$D$155)*(1+'Mão de Obra'!$D$156)*'Mão de Obra'!$D$165/(1-SUM('Mão de Obra'!$D$160:$D$165,(SUMPRODUCT('Mão de Obra'!$E$29:$XX$29,'Mão de Obra'!$E$163:$XX$163)/SUM('Mão de Obra'!$E$29:$XX$29)))),"")</f>
        <v/>
      </c>
      <c r="K18" s="630"/>
      <c r="L18" s="629">
        <f>IF(K18="",1/Resumo!$J$6,1/K18)</f>
        <v>0.16666666666666666</v>
      </c>
      <c r="M18" s="625" t="str">
        <f>IFERROR(N18/'Mão de Obra'!$D$12,"")</f>
        <v/>
      </c>
      <c r="N18" s="625" t="str">
        <f>IFERROR(IF(ISNUMBER(L18),L18*Resumo!$J$6,1)*J18*H18,"")</f>
        <v/>
      </c>
    </row>
    <row r="19" spans="2:14">
      <c r="B19" s="249">
        <v>14</v>
      </c>
      <c r="C19" s="249"/>
      <c r="D19" s="381"/>
      <c r="E19" s="249"/>
      <c r="F19" s="249"/>
      <c r="G19" s="249"/>
      <c r="H19" s="451"/>
      <c r="I19" s="256"/>
      <c r="J19" s="625" t="str">
        <f>IFERROR(
I19+
I19*('Mão de Obra'!$D$155)+
I19*(1+'Mão de Obra'!$D$155)*('Mão de Obra'!$D$156)+
I19*(1+'Mão de Obra'!$D$155)*(1+'Mão de Obra'!$D$156)*'Mão de Obra'!$D$160/(1-SUM('Mão de Obra'!$D$160:$D$165,'Mão de Obra'!$E$163))+
I19*(1+'Mão de Obra'!$D$155)*(1+'Mão de Obra'!$D$156)*'Mão de Obra'!$D$161/(1-SUM('Mão de Obra'!$D$160:$D$165,'Mão de Obra'!$E$163))+
I19*(1+'Mão de Obra'!$D$155)*(1+'Mão de Obra'!$D$156)*(SUMPRODUCT('Mão de Obra'!$E$29:$XX$29,'Mão de Obra'!$E$163:$XX$163)/SUM('Mão de Obra'!$E$29:$XX$29))/(1-SUM('Mão de Obra'!$D$160:$D$165,'Mão de Obra'!$E$163))+
I19*(1+'Mão de Obra'!$D$155)*(1+'Mão de Obra'!$D$156)*'Mão de Obra'!$D$165/(1-SUM('Mão de Obra'!$D$160:$D$165,(SUMPRODUCT('Mão de Obra'!$E$29:$XX$29,'Mão de Obra'!$E$163:$XX$163)/SUM('Mão de Obra'!$E$29:$XX$29)))),"")</f>
        <v/>
      </c>
      <c r="K19" s="630"/>
      <c r="L19" s="629">
        <f>IF(K19="",1/Resumo!$J$6,1/K19)</f>
        <v>0.16666666666666666</v>
      </c>
      <c r="M19" s="625" t="str">
        <f>IFERROR(N19/'Mão de Obra'!$D$12,"")</f>
        <v/>
      </c>
      <c r="N19" s="625" t="str">
        <f>IFERROR(IF(ISNUMBER(L19),L19*Resumo!$J$6,1)*J19*H19,"")</f>
        <v/>
      </c>
    </row>
    <row r="20" spans="2:14">
      <c r="B20" s="249">
        <v>15</v>
      </c>
      <c r="C20" s="249"/>
      <c r="D20" s="381"/>
      <c r="E20" s="249"/>
      <c r="F20" s="249"/>
      <c r="G20" s="249"/>
      <c r="H20" s="451"/>
      <c r="I20" s="256"/>
      <c r="J20" s="625" t="str">
        <f>IFERROR(
I20+
I20*('Mão de Obra'!$D$155)+
I20*(1+'Mão de Obra'!$D$155)*('Mão de Obra'!$D$156)+
I20*(1+'Mão de Obra'!$D$155)*(1+'Mão de Obra'!$D$156)*'Mão de Obra'!$D$160/(1-SUM('Mão de Obra'!$D$160:$D$165,'Mão de Obra'!$E$163))+
I20*(1+'Mão de Obra'!$D$155)*(1+'Mão de Obra'!$D$156)*'Mão de Obra'!$D$161/(1-SUM('Mão de Obra'!$D$160:$D$165,'Mão de Obra'!$E$163))+
I20*(1+'Mão de Obra'!$D$155)*(1+'Mão de Obra'!$D$156)*(SUMPRODUCT('Mão de Obra'!$E$29:$XX$29,'Mão de Obra'!$E$163:$XX$163)/SUM('Mão de Obra'!$E$29:$XX$29))/(1-SUM('Mão de Obra'!$D$160:$D$165,'Mão de Obra'!$E$163))+
I20*(1+'Mão de Obra'!$D$155)*(1+'Mão de Obra'!$D$156)*'Mão de Obra'!$D$165/(1-SUM('Mão de Obra'!$D$160:$D$165,(SUMPRODUCT('Mão de Obra'!$E$29:$XX$29,'Mão de Obra'!$E$163:$XX$163)/SUM('Mão de Obra'!$E$29:$XX$29)))),"")</f>
        <v/>
      </c>
      <c r="K20" s="630"/>
      <c r="L20" s="629">
        <f>IF(K20="",1/Resumo!$J$6,1/K20)</f>
        <v>0.16666666666666666</v>
      </c>
      <c r="M20" s="625" t="str">
        <f>IFERROR(N20/'Mão de Obra'!$D$12,"")</f>
        <v/>
      </c>
      <c r="N20" s="625" t="str">
        <f>IFERROR(IF(ISNUMBER(L20),L20*Resumo!$J$6,1)*J20*H20,"")</f>
        <v/>
      </c>
    </row>
    <row r="21" spans="2:14">
      <c r="B21" s="249">
        <v>16</v>
      </c>
      <c r="C21" s="249"/>
      <c r="D21" s="381"/>
      <c r="E21" s="249"/>
      <c r="F21" s="249"/>
      <c r="G21" s="249"/>
      <c r="H21" s="451"/>
      <c r="I21" s="256"/>
      <c r="J21" s="625" t="str">
        <f>IFERROR(
I21+
I21*('Mão de Obra'!$D$155)+
I21*(1+'Mão de Obra'!$D$155)*('Mão de Obra'!$D$156)+
I21*(1+'Mão de Obra'!$D$155)*(1+'Mão de Obra'!$D$156)*'Mão de Obra'!$D$160/(1-SUM('Mão de Obra'!$D$160:$D$165,'Mão de Obra'!$E$163))+
I21*(1+'Mão de Obra'!$D$155)*(1+'Mão de Obra'!$D$156)*'Mão de Obra'!$D$161/(1-SUM('Mão de Obra'!$D$160:$D$165,'Mão de Obra'!$E$163))+
I21*(1+'Mão de Obra'!$D$155)*(1+'Mão de Obra'!$D$156)*(SUMPRODUCT('Mão de Obra'!$E$29:$XX$29,'Mão de Obra'!$E$163:$XX$163)/SUM('Mão de Obra'!$E$29:$XX$29))/(1-SUM('Mão de Obra'!$D$160:$D$165,'Mão de Obra'!$E$163))+
I21*(1+'Mão de Obra'!$D$155)*(1+'Mão de Obra'!$D$156)*'Mão de Obra'!$D$165/(1-SUM('Mão de Obra'!$D$160:$D$165,(SUMPRODUCT('Mão de Obra'!$E$29:$XX$29,'Mão de Obra'!$E$163:$XX$163)/SUM('Mão de Obra'!$E$29:$XX$29)))),"")</f>
        <v/>
      </c>
      <c r="K21" s="630"/>
      <c r="L21" s="629">
        <f>IF(K21="",1/Resumo!$J$6,1/K21)</f>
        <v>0.16666666666666666</v>
      </c>
      <c r="M21" s="625" t="str">
        <f>IFERROR(N21/'Mão de Obra'!$D$12,"")</f>
        <v/>
      </c>
      <c r="N21" s="625" t="str">
        <f>IFERROR(IF(ISNUMBER(L21),L21*Resumo!$J$6,1)*J21*H21,"")</f>
        <v/>
      </c>
    </row>
    <row r="22" spans="2:14">
      <c r="B22" s="249">
        <v>17</v>
      </c>
      <c r="C22" s="249"/>
      <c r="D22" s="381"/>
      <c r="E22" s="249"/>
      <c r="F22" s="249"/>
      <c r="G22" s="249"/>
      <c r="H22" s="451"/>
      <c r="I22" s="256"/>
      <c r="J22" s="625" t="str">
        <f>IFERROR(
I22+
I22*('Mão de Obra'!$D$155)+
I22*(1+'Mão de Obra'!$D$155)*('Mão de Obra'!$D$156)+
I22*(1+'Mão de Obra'!$D$155)*(1+'Mão de Obra'!$D$156)*'Mão de Obra'!$D$160/(1-SUM('Mão de Obra'!$D$160:$D$165,'Mão de Obra'!$E$163))+
I22*(1+'Mão de Obra'!$D$155)*(1+'Mão de Obra'!$D$156)*'Mão de Obra'!$D$161/(1-SUM('Mão de Obra'!$D$160:$D$165,'Mão de Obra'!$E$163))+
I22*(1+'Mão de Obra'!$D$155)*(1+'Mão de Obra'!$D$156)*(SUMPRODUCT('Mão de Obra'!$E$29:$XX$29,'Mão de Obra'!$E$163:$XX$163)/SUM('Mão de Obra'!$E$29:$XX$29))/(1-SUM('Mão de Obra'!$D$160:$D$165,'Mão de Obra'!$E$163))+
I22*(1+'Mão de Obra'!$D$155)*(1+'Mão de Obra'!$D$156)*'Mão de Obra'!$D$165/(1-SUM('Mão de Obra'!$D$160:$D$165,(SUMPRODUCT('Mão de Obra'!$E$29:$XX$29,'Mão de Obra'!$E$163:$XX$163)/SUM('Mão de Obra'!$E$29:$XX$29)))),"")</f>
        <v/>
      </c>
      <c r="K22" s="630"/>
      <c r="L22" s="629">
        <f>IF(K22="",1/Resumo!$J$6,1/K22)</f>
        <v>0.16666666666666666</v>
      </c>
      <c r="M22" s="625" t="str">
        <f>IFERROR(N22/'Mão de Obra'!$D$12,"")</f>
        <v/>
      </c>
      <c r="N22" s="625" t="str">
        <f>IFERROR(IF(ISNUMBER(L22),L22*Resumo!$J$6,1)*J22*H22,"")</f>
        <v/>
      </c>
    </row>
    <row r="23" spans="2:14">
      <c r="B23" s="249">
        <v>18</v>
      </c>
      <c r="C23" s="249"/>
      <c r="D23" s="381"/>
      <c r="E23" s="249"/>
      <c r="F23" s="249"/>
      <c r="G23" s="249"/>
      <c r="H23" s="451"/>
      <c r="I23" s="256"/>
      <c r="J23" s="625" t="str">
        <f>IFERROR(
I23+
I23*('Mão de Obra'!$D$155)+
I23*(1+'Mão de Obra'!$D$155)*('Mão de Obra'!$D$156)+
I23*(1+'Mão de Obra'!$D$155)*(1+'Mão de Obra'!$D$156)*'Mão de Obra'!$D$160/(1-SUM('Mão de Obra'!$D$160:$D$165,'Mão de Obra'!$E$163))+
I23*(1+'Mão de Obra'!$D$155)*(1+'Mão de Obra'!$D$156)*'Mão de Obra'!$D$161/(1-SUM('Mão de Obra'!$D$160:$D$165,'Mão de Obra'!$E$163))+
I23*(1+'Mão de Obra'!$D$155)*(1+'Mão de Obra'!$D$156)*(SUMPRODUCT('Mão de Obra'!$E$29:$XX$29,'Mão de Obra'!$E$163:$XX$163)/SUM('Mão de Obra'!$E$29:$XX$29))/(1-SUM('Mão de Obra'!$D$160:$D$165,'Mão de Obra'!$E$163))+
I23*(1+'Mão de Obra'!$D$155)*(1+'Mão de Obra'!$D$156)*'Mão de Obra'!$D$165/(1-SUM('Mão de Obra'!$D$160:$D$165,(SUMPRODUCT('Mão de Obra'!$E$29:$XX$29,'Mão de Obra'!$E$163:$XX$163)/SUM('Mão de Obra'!$E$29:$XX$29)))),"")</f>
        <v/>
      </c>
      <c r="K23" s="630"/>
      <c r="L23" s="629">
        <f>IF(K23="",1/Resumo!$J$6,1/K23)</f>
        <v>0.16666666666666666</v>
      </c>
      <c r="M23" s="625" t="str">
        <f>IFERROR(N23/'Mão de Obra'!$D$12,"")</f>
        <v/>
      </c>
      <c r="N23" s="625" t="str">
        <f>IFERROR(IF(ISNUMBER(L23),L23*Resumo!$J$6,1)*J23*H23,"")</f>
        <v/>
      </c>
    </row>
    <row r="24" spans="2:14">
      <c r="B24" s="249">
        <v>19</v>
      </c>
      <c r="C24" s="249"/>
      <c r="D24" s="381"/>
      <c r="E24" s="249"/>
      <c r="F24" s="249"/>
      <c r="G24" s="249"/>
      <c r="H24" s="451"/>
      <c r="I24" s="256"/>
      <c r="J24" s="625" t="str">
        <f>IFERROR(
I24+
I24*('Mão de Obra'!$D$155)+
I24*(1+'Mão de Obra'!$D$155)*('Mão de Obra'!$D$156)+
I24*(1+'Mão de Obra'!$D$155)*(1+'Mão de Obra'!$D$156)*'Mão de Obra'!$D$160/(1-SUM('Mão de Obra'!$D$160:$D$165,'Mão de Obra'!$E$163))+
I24*(1+'Mão de Obra'!$D$155)*(1+'Mão de Obra'!$D$156)*'Mão de Obra'!$D$161/(1-SUM('Mão de Obra'!$D$160:$D$165,'Mão de Obra'!$E$163))+
I24*(1+'Mão de Obra'!$D$155)*(1+'Mão de Obra'!$D$156)*(SUMPRODUCT('Mão de Obra'!$E$29:$XX$29,'Mão de Obra'!$E$163:$XX$163)/SUM('Mão de Obra'!$E$29:$XX$29))/(1-SUM('Mão de Obra'!$D$160:$D$165,'Mão de Obra'!$E$163))+
I24*(1+'Mão de Obra'!$D$155)*(1+'Mão de Obra'!$D$156)*'Mão de Obra'!$D$165/(1-SUM('Mão de Obra'!$D$160:$D$165,(SUMPRODUCT('Mão de Obra'!$E$29:$XX$29,'Mão de Obra'!$E$163:$XX$163)/SUM('Mão de Obra'!$E$29:$XX$29)))),"")</f>
        <v/>
      </c>
      <c r="K24" s="630"/>
      <c r="L24" s="629">
        <f>IF(K24="",1/Resumo!$J$6,1/K24)</f>
        <v>0.16666666666666666</v>
      </c>
      <c r="M24" s="625" t="str">
        <f>IFERROR(N24/'Mão de Obra'!$D$12,"")</f>
        <v/>
      </c>
      <c r="N24" s="625" t="str">
        <f>IFERROR(IF(ISNUMBER(L24),L24*Resumo!$J$6,1)*J24*H24,"")</f>
        <v/>
      </c>
    </row>
    <row r="25" spans="2:14">
      <c r="B25" s="249">
        <v>20</v>
      </c>
      <c r="C25" s="249"/>
      <c r="D25" s="381"/>
      <c r="E25" s="249"/>
      <c r="F25" s="249"/>
      <c r="G25" s="249"/>
      <c r="H25" s="451"/>
      <c r="I25" s="256"/>
      <c r="J25" s="625" t="str">
        <f>IFERROR(
I25+
I25*('Mão de Obra'!$D$155)+
I25*(1+'Mão de Obra'!$D$155)*('Mão de Obra'!$D$156)+
I25*(1+'Mão de Obra'!$D$155)*(1+'Mão de Obra'!$D$156)*'Mão de Obra'!$D$160/(1-SUM('Mão de Obra'!$D$160:$D$165,'Mão de Obra'!$E$163))+
I25*(1+'Mão de Obra'!$D$155)*(1+'Mão de Obra'!$D$156)*'Mão de Obra'!$D$161/(1-SUM('Mão de Obra'!$D$160:$D$165,'Mão de Obra'!$E$163))+
I25*(1+'Mão de Obra'!$D$155)*(1+'Mão de Obra'!$D$156)*(SUMPRODUCT('Mão de Obra'!$E$29:$XX$29,'Mão de Obra'!$E$163:$XX$163)/SUM('Mão de Obra'!$E$29:$XX$29))/(1-SUM('Mão de Obra'!$D$160:$D$165,'Mão de Obra'!$E$163))+
I25*(1+'Mão de Obra'!$D$155)*(1+'Mão de Obra'!$D$156)*'Mão de Obra'!$D$165/(1-SUM('Mão de Obra'!$D$160:$D$165,(SUMPRODUCT('Mão de Obra'!$E$29:$XX$29,'Mão de Obra'!$E$163:$XX$163)/SUM('Mão de Obra'!$E$29:$XX$29)))),"")</f>
        <v/>
      </c>
      <c r="K25" s="630"/>
      <c r="L25" s="629">
        <f>IF(K25="",1/Resumo!$J$6,1/K25)</f>
        <v>0.16666666666666666</v>
      </c>
      <c r="M25" s="625" t="str">
        <f>IFERROR(N25/'Mão de Obra'!$D$12,"")</f>
        <v/>
      </c>
      <c r="N25" s="625" t="str">
        <f>IFERROR(IF(ISNUMBER(L25),L25*Resumo!$J$6,1)*J25*H25,"")</f>
        <v/>
      </c>
    </row>
    <row r="26" spans="2:14" s="39" customFormat="1">
      <c r="C26" s="295"/>
      <c r="I26" s="303"/>
      <c r="J26" s="303"/>
      <c r="K26" s="303"/>
      <c r="L26"/>
      <c r="M26" s="303"/>
      <c r="N26" s="303"/>
    </row>
    <row r="27" spans="2:14" s="39" customFormat="1">
      <c r="C27" s="295"/>
      <c r="I27" s="303"/>
      <c r="J27" s="303"/>
      <c r="K27" s="303"/>
      <c r="L27"/>
      <c r="M27" s="303"/>
      <c r="N27" s="303"/>
    </row>
    <row r="28" spans="2:14" s="39" customFormat="1">
      <c r="C28" s="295"/>
      <c r="I28" s="303"/>
      <c r="J28" s="303"/>
      <c r="K28" s="303"/>
      <c r="L28"/>
      <c r="M28" s="303"/>
      <c r="N28" s="303"/>
    </row>
    <row r="29" spans="2:14" s="39" customFormat="1">
      <c r="C29" s="295"/>
      <c r="I29" s="303"/>
      <c r="J29" s="303"/>
      <c r="K29" s="303"/>
      <c r="L29"/>
      <c r="M29" s="303"/>
      <c r="N29" s="303"/>
    </row>
    <row r="30" spans="2:14" s="39" customFormat="1">
      <c r="C30" s="295"/>
      <c r="I30" s="303"/>
      <c r="J30" s="303"/>
      <c r="K30" s="303"/>
      <c r="L30"/>
      <c r="M30" s="303"/>
      <c r="N30" s="303"/>
    </row>
    <row r="31" spans="2:14" s="39" customFormat="1">
      <c r="C31" s="295"/>
      <c r="I31" s="303"/>
      <c r="J31" s="303"/>
      <c r="K31" s="303"/>
      <c r="L31"/>
      <c r="M31" s="303"/>
      <c r="N31" s="303"/>
    </row>
    <row r="32" spans="2:14" s="39" customFormat="1">
      <c r="C32" s="295"/>
      <c r="I32" s="303"/>
      <c r="J32" s="303"/>
      <c r="K32" s="303"/>
      <c r="L32"/>
      <c r="M32" s="303"/>
      <c r="N32" s="303"/>
    </row>
    <row r="33" spans="3:14" s="39" customFormat="1">
      <c r="C33" s="295"/>
      <c r="I33" s="303"/>
      <c r="J33" s="303"/>
      <c r="K33" s="303"/>
      <c r="L33"/>
      <c r="M33" s="303"/>
      <c r="N33" s="303"/>
    </row>
    <row r="34" spans="3:14" s="39" customFormat="1">
      <c r="C34" s="295"/>
      <c r="I34" s="303"/>
      <c r="J34" s="303"/>
      <c r="K34" s="303"/>
      <c r="L34"/>
      <c r="M34" s="303"/>
      <c r="N34" s="303"/>
    </row>
    <row r="35" spans="3:14" s="39" customFormat="1">
      <c r="C35" s="295"/>
      <c r="I35" s="303"/>
      <c r="J35" s="303"/>
      <c r="K35" s="303"/>
      <c r="L35"/>
      <c r="M35" s="303"/>
      <c r="N35" s="303"/>
    </row>
    <row r="36" spans="3:14" s="39" customFormat="1">
      <c r="C36" s="295"/>
      <c r="I36" s="303"/>
      <c r="J36" s="303"/>
      <c r="K36" s="303"/>
      <c r="L36"/>
      <c r="M36" s="303"/>
      <c r="N36" s="303"/>
    </row>
    <row r="37" spans="3:14" s="39" customFormat="1">
      <c r="C37" s="295"/>
      <c r="I37" s="303"/>
      <c r="J37" s="303"/>
      <c r="K37" s="303"/>
      <c r="L37"/>
      <c r="M37" s="303"/>
      <c r="N37" s="303"/>
    </row>
    <row r="38" spans="3:14" s="39" customFormat="1">
      <c r="C38" s="295"/>
      <c r="I38" s="303"/>
      <c r="J38" s="303"/>
      <c r="K38" s="303"/>
      <c r="L38"/>
      <c r="M38" s="303"/>
      <c r="N38" s="303"/>
    </row>
    <row r="39" spans="3:14" s="39" customFormat="1">
      <c r="C39" s="295"/>
      <c r="I39" s="303"/>
      <c r="J39" s="303"/>
      <c r="K39" s="303"/>
      <c r="L39"/>
      <c r="M39" s="303"/>
      <c r="N39" s="303"/>
    </row>
    <row r="40" spans="3:14" s="39" customFormat="1">
      <c r="C40" s="295"/>
      <c r="I40" s="303"/>
      <c r="J40" s="303"/>
      <c r="K40" s="303"/>
      <c r="L40"/>
      <c r="M40" s="303"/>
      <c r="N40" s="303"/>
    </row>
    <row r="41" spans="3:14" s="39" customFormat="1">
      <c r="C41" s="295"/>
      <c r="I41" s="303"/>
      <c r="J41" s="303"/>
      <c r="K41" s="303"/>
      <c r="L41"/>
      <c r="M41" s="303"/>
      <c r="N41" s="303"/>
    </row>
    <row r="42" spans="3:14" s="39" customFormat="1">
      <c r="C42" s="295"/>
      <c r="I42" s="303"/>
      <c r="J42" s="303"/>
      <c r="K42" s="303"/>
      <c r="L42"/>
      <c r="M42" s="303"/>
      <c r="N42" s="303"/>
    </row>
    <row r="43" spans="3:14" s="39" customFormat="1">
      <c r="C43" s="295"/>
      <c r="I43" s="303"/>
      <c r="J43" s="303"/>
      <c r="K43" s="303"/>
      <c r="L43"/>
      <c r="M43" s="303"/>
      <c r="N43" s="303"/>
    </row>
    <row r="44" spans="3:14" s="39" customFormat="1">
      <c r="C44" s="295"/>
      <c r="I44" s="303"/>
      <c r="J44" s="303"/>
      <c r="K44" s="303"/>
      <c r="L44"/>
      <c r="M44" s="303"/>
      <c r="N44" s="303"/>
    </row>
    <row r="45" spans="3:14" s="39" customFormat="1">
      <c r="C45" s="295"/>
      <c r="I45" s="303"/>
      <c r="J45" s="303"/>
      <c r="K45" s="303"/>
      <c r="L45"/>
      <c r="M45" s="303"/>
      <c r="N45" s="303"/>
    </row>
    <row r="46" spans="3:14" s="39" customFormat="1">
      <c r="C46" s="295"/>
      <c r="I46" s="303"/>
      <c r="J46" s="303"/>
      <c r="K46" s="303"/>
      <c r="L46"/>
      <c r="M46" s="303"/>
      <c r="N46" s="303"/>
    </row>
    <row r="47" spans="3:14" s="39" customFormat="1">
      <c r="C47" s="295"/>
      <c r="I47" s="303"/>
      <c r="J47" s="303"/>
      <c r="K47" s="303"/>
      <c r="L47"/>
      <c r="M47" s="303"/>
      <c r="N47" s="303"/>
    </row>
    <row r="48" spans="3:14" s="39" customFormat="1">
      <c r="C48" s="295"/>
      <c r="I48" s="303"/>
      <c r="J48" s="303"/>
      <c r="K48" s="303"/>
      <c r="L48"/>
      <c r="M48" s="303"/>
      <c r="N48" s="303"/>
    </row>
    <row r="49" spans="3:14" s="39" customFormat="1">
      <c r="C49" s="295"/>
      <c r="I49" s="303"/>
      <c r="J49" s="303"/>
      <c r="K49" s="303"/>
      <c r="L49"/>
      <c r="M49" s="303"/>
      <c r="N49" s="303"/>
    </row>
    <row r="50" spans="3:14" s="39" customFormat="1">
      <c r="C50" s="295"/>
      <c r="I50" s="303"/>
      <c r="J50" s="303"/>
      <c r="K50" s="303"/>
      <c r="L50"/>
      <c r="M50" s="303"/>
      <c r="N50" s="303"/>
    </row>
    <row r="51" spans="3:14" s="39" customFormat="1">
      <c r="C51" s="295"/>
      <c r="I51" s="303"/>
      <c r="J51" s="303"/>
      <c r="K51" s="303"/>
      <c r="L51"/>
      <c r="M51" s="303"/>
      <c r="N51" s="303"/>
    </row>
    <row r="52" spans="3:14" s="39" customFormat="1">
      <c r="C52" s="295"/>
      <c r="I52" s="303"/>
      <c r="J52" s="303"/>
      <c r="K52" s="303"/>
      <c r="L52"/>
      <c r="M52" s="303"/>
      <c r="N52" s="303"/>
    </row>
    <row r="53" spans="3:14" s="39" customFormat="1">
      <c r="C53" s="295"/>
      <c r="I53" s="303"/>
      <c r="J53" s="303"/>
      <c r="K53" s="303"/>
      <c r="L53"/>
      <c r="M53" s="303"/>
      <c r="N53" s="303"/>
    </row>
    <row r="54" spans="3:14" s="39" customFormat="1">
      <c r="C54" s="295"/>
      <c r="I54" s="303"/>
      <c r="J54" s="303"/>
      <c r="K54" s="303"/>
      <c r="L54"/>
      <c r="M54" s="303"/>
      <c r="N54" s="303"/>
    </row>
    <row r="55" spans="3:14" s="39" customFormat="1">
      <c r="C55" s="295"/>
      <c r="I55" s="303"/>
      <c r="J55" s="303"/>
      <c r="K55" s="303"/>
      <c r="L55"/>
      <c r="M55" s="303"/>
      <c r="N55" s="303"/>
    </row>
    <row r="56" spans="3:14" s="39" customFormat="1">
      <c r="C56" s="295"/>
      <c r="I56" s="303"/>
      <c r="J56" s="303"/>
      <c r="K56" s="303"/>
      <c r="L56"/>
      <c r="M56" s="303"/>
      <c r="N56" s="303"/>
    </row>
    <row r="57" spans="3:14" s="39" customFormat="1">
      <c r="C57" s="295"/>
      <c r="I57" s="303"/>
      <c r="J57" s="303"/>
      <c r="K57" s="303"/>
      <c r="L57"/>
      <c r="M57" s="303"/>
      <c r="N57" s="303"/>
    </row>
    <row r="58" spans="3:14" s="39" customFormat="1">
      <c r="C58" s="295"/>
      <c r="I58" s="303"/>
      <c r="J58" s="303"/>
      <c r="K58" s="303"/>
      <c r="L58"/>
      <c r="M58" s="303"/>
      <c r="N58" s="303"/>
    </row>
    <row r="59" spans="3:14" s="39" customFormat="1">
      <c r="C59" s="295"/>
      <c r="I59" s="303"/>
      <c r="J59" s="303"/>
      <c r="K59" s="303"/>
      <c r="L59"/>
      <c r="M59" s="303"/>
      <c r="N59" s="303"/>
    </row>
    <row r="60" spans="3:14" s="39" customFormat="1">
      <c r="C60" s="295"/>
      <c r="I60" s="303"/>
      <c r="J60" s="303"/>
      <c r="K60" s="303"/>
      <c r="L60"/>
      <c r="M60" s="303"/>
      <c r="N60" s="303"/>
    </row>
    <row r="61" spans="3:14" s="39" customFormat="1">
      <c r="C61" s="295"/>
      <c r="I61" s="303"/>
      <c r="J61" s="303"/>
      <c r="K61" s="303"/>
      <c r="L61"/>
      <c r="M61" s="303"/>
      <c r="N61" s="303"/>
    </row>
    <row r="62" spans="3:14" s="39" customFormat="1">
      <c r="C62" s="295"/>
      <c r="I62" s="303"/>
      <c r="J62" s="303"/>
      <c r="K62" s="303"/>
      <c r="L62"/>
      <c r="M62" s="303"/>
      <c r="N62" s="303"/>
    </row>
    <row r="63" spans="3:14" s="39" customFormat="1">
      <c r="C63" s="295"/>
      <c r="I63" s="303"/>
      <c r="J63" s="303"/>
      <c r="K63" s="303"/>
      <c r="L63"/>
      <c r="M63" s="303"/>
      <c r="N63" s="303"/>
    </row>
    <row r="64" spans="3:14" s="39" customFormat="1">
      <c r="C64" s="295"/>
      <c r="I64" s="303"/>
      <c r="J64" s="303"/>
      <c r="K64" s="303"/>
      <c r="L64"/>
      <c r="M64" s="303"/>
      <c r="N64" s="303"/>
    </row>
    <row r="65" spans="3:14" s="39" customFormat="1">
      <c r="C65" s="295"/>
      <c r="I65" s="303"/>
      <c r="J65" s="303"/>
      <c r="K65" s="303"/>
      <c r="L65"/>
      <c r="M65" s="303"/>
      <c r="N65" s="303"/>
    </row>
    <row r="66" spans="3:14" s="39" customFormat="1">
      <c r="C66" s="295"/>
      <c r="I66" s="303"/>
      <c r="J66" s="303"/>
      <c r="K66" s="303"/>
      <c r="L66"/>
      <c r="M66" s="303"/>
      <c r="N66" s="303"/>
    </row>
    <row r="67" spans="3:14" s="39" customFormat="1">
      <c r="C67" s="295"/>
      <c r="I67" s="303"/>
      <c r="J67" s="303"/>
      <c r="K67" s="303"/>
      <c r="L67"/>
      <c r="M67" s="303"/>
      <c r="N67" s="303"/>
    </row>
    <row r="68" spans="3:14" s="39" customFormat="1">
      <c r="C68" s="295"/>
      <c r="I68" s="303"/>
      <c r="J68" s="303"/>
      <c r="K68" s="303"/>
      <c r="L68"/>
      <c r="M68" s="303"/>
      <c r="N68" s="303"/>
    </row>
    <row r="69" spans="3:14" s="39" customFormat="1">
      <c r="C69" s="295"/>
      <c r="I69" s="303"/>
      <c r="J69" s="303"/>
      <c r="K69" s="303"/>
      <c r="L69"/>
      <c r="M69" s="303"/>
      <c r="N69" s="303"/>
    </row>
    <row r="70" spans="3:14" s="39" customFormat="1">
      <c r="C70" s="295"/>
      <c r="I70" s="303"/>
      <c r="J70" s="303"/>
      <c r="K70" s="303"/>
      <c r="L70"/>
      <c r="M70" s="303"/>
      <c r="N70" s="303"/>
    </row>
    <row r="71" spans="3:14" s="39" customFormat="1">
      <c r="C71" s="295"/>
      <c r="I71" s="303"/>
      <c r="J71" s="303"/>
      <c r="K71" s="303"/>
      <c r="L71"/>
      <c r="M71" s="303"/>
      <c r="N71" s="303"/>
    </row>
    <row r="72" spans="3:14" s="39" customFormat="1">
      <c r="C72" s="295"/>
      <c r="I72" s="303"/>
      <c r="J72" s="303"/>
      <c r="K72" s="303"/>
      <c r="L72"/>
      <c r="M72" s="303"/>
      <c r="N72" s="303"/>
    </row>
    <row r="73" spans="3:14" s="39" customFormat="1">
      <c r="C73" s="295"/>
      <c r="I73" s="303"/>
      <c r="J73" s="303"/>
      <c r="K73" s="303"/>
      <c r="L73"/>
      <c r="M73" s="303"/>
      <c r="N73" s="303"/>
    </row>
    <row r="74" spans="3:14" s="39" customFormat="1">
      <c r="C74" s="295"/>
      <c r="I74" s="303"/>
      <c r="J74" s="303"/>
      <c r="K74" s="303"/>
      <c r="L74"/>
      <c r="M74" s="303"/>
      <c r="N74" s="303"/>
    </row>
    <row r="75" spans="3:14" s="39" customFormat="1">
      <c r="C75" s="295"/>
      <c r="I75" s="303"/>
      <c r="J75" s="303"/>
      <c r="K75" s="303"/>
      <c r="L75"/>
      <c r="M75" s="303"/>
      <c r="N75" s="303"/>
    </row>
    <row r="76" spans="3:14" s="39" customFormat="1">
      <c r="C76" s="295"/>
      <c r="I76" s="303"/>
      <c r="J76" s="303"/>
      <c r="K76" s="303"/>
      <c r="L76"/>
      <c r="M76" s="303"/>
      <c r="N76" s="303"/>
    </row>
    <row r="77" spans="3:14" s="39" customFormat="1">
      <c r="C77" s="295"/>
      <c r="I77" s="303"/>
      <c r="J77" s="303"/>
      <c r="K77" s="303"/>
      <c r="L77"/>
      <c r="M77" s="303"/>
      <c r="N77" s="303"/>
    </row>
    <row r="78" spans="3:14" s="39" customFormat="1">
      <c r="C78" s="295"/>
      <c r="I78" s="303"/>
      <c r="J78" s="303"/>
      <c r="K78" s="303"/>
      <c r="L78"/>
      <c r="M78" s="303"/>
      <c r="N78" s="303"/>
    </row>
    <row r="79" spans="3:14" s="39" customFormat="1">
      <c r="C79" s="295"/>
      <c r="I79" s="303"/>
      <c r="J79" s="303"/>
      <c r="K79" s="303"/>
      <c r="L79"/>
      <c r="M79" s="303"/>
      <c r="N79" s="303"/>
    </row>
    <row r="80" spans="3:14" s="39" customFormat="1">
      <c r="C80" s="295"/>
      <c r="I80" s="303"/>
      <c r="J80" s="303"/>
      <c r="K80" s="303"/>
      <c r="L80"/>
      <c r="M80" s="303"/>
      <c r="N80" s="303"/>
    </row>
    <row r="81" spans="3:14" s="39" customFormat="1">
      <c r="C81" s="295"/>
      <c r="I81" s="303"/>
      <c r="J81" s="303"/>
      <c r="K81" s="303"/>
      <c r="L81"/>
      <c r="M81" s="303"/>
      <c r="N81" s="303"/>
    </row>
    <row r="82" spans="3:14" s="39" customFormat="1">
      <c r="C82" s="295"/>
      <c r="I82" s="303"/>
      <c r="J82" s="303"/>
      <c r="K82" s="303"/>
      <c r="L82"/>
      <c r="M82" s="303"/>
      <c r="N82" s="303"/>
    </row>
    <row r="83" spans="3:14" s="39" customFormat="1">
      <c r="C83" s="295"/>
      <c r="I83" s="303"/>
      <c r="J83" s="303"/>
      <c r="K83" s="303"/>
      <c r="L83"/>
      <c r="M83" s="303"/>
      <c r="N83" s="303"/>
    </row>
    <row r="84" spans="3:14" s="39" customFormat="1">
      <c r="C84" s="295"/>
      <c r="I84" s="303"/>
      <c r="J84" s="303"/>
      <c r="K84" s="303"/>
      <c r="L84"/>
      <c r="M84" s="303"/>
      <c r="N84" s="303"/>
    </row>
    <row r="85" spans="3:14" s="39" customFormat="1">
      <c r="C85" s="295"/>
      <c r="I85" s="303"/>
      <c r="J85" s="303"/>
      <c r="K85" s="303"/>
      <c r="L85"/>
      <c r="M85" s="303"/>
      <c r="N85" s="303"/>
    </row>
    <row r="86" spans="3:14" s="39" customFormat="1">
      <c r="C86" s="295"/>
      <c r="I86" s="303"/>
      <c r="J86" s="303"/>
      <c r="K86" s="303"/>
      <c r="L86"/>
      <c r="M86" s="303"/>
      <c r="N86" s="303"/>
    </row>
    <row r="87" spans="3:14" s="39" customFormat="1">
      <c r="C87" s="295"/>
      <c r="I87" s="303"/>
      <c r="J87" s="303"/>
      <c r="K87" s="303"/>
      <c r="L87"/>
      <c r="M87" s="303"/>
      <c r="N87" s="303"/>
    </row>
    <row r="88" spans="3:14" s="39" customFormat="1">
      <c r="C88" s="295"/>
      <c r="I88" s="303"/>
      <c r="J88" s="303"/>
      <c r="K88" s="303"/>
      <c r="L88"/>
      <c r="M88" s="303"/>
      <c r="N88" s="303"/>
    </row>
    <row r="89" spans="3:14" s="39" customFormat="1">
      <c r="C89" s="295"/>
      <c r="I89" s="303"/>
      <c r="J89" s="303"/>
      <c r="K89" s="303"/>
      <c r="L89"/>
      <c r="M89" s="303"/>
      <c r="N89" s="303"/>
    </row>
    <row r="90" spans="3:14" s="39" customFormat="1">
      <c r="C90" s="295"/>
      <c r="I90" s="303"/>
      <c r="J90" s="303"/>
      <c r="K90" s="303"/>
      <c r="L90"/>
      <c r="M90" s="303"/>
      <c r="N90" s="303"/>
    </row>
    <row r="91" spans="3:14" s="39" customFormat="1">
      <c r="C91" s="295"/>
      <c r="I91" s="303"/>
      <c r="J91" s="303"/>
      <c r="K91" s="303"/>
      <c r="L91"/>
      <c r="M91" s="303"/>
      <c r="N91" s="303"/>
    </row>
    <row r="92" spans="3:14" s="39" customFormat="1">
      <c r="C92" s="295"/>
      <c r="I92" s="303"/>
      <c r="J92" s="303"/>
      <c r="K92" s="303"/>
      <c r="L92"/>
      <c r="M92" s="303"/>
      <c r="N92" s="303"/>
    </row>
    <row r="93" spans="3:14" s="39" customFormat="1">
      <c r="C93" s="295"/>
      <c r="I93" s="303"/>
      <c r="J93" s="303"/>
      <c r="K93" s="303"/>
      <c r="L93"/>
      <c r="M93" s="303"/>
      <c r="N93" s="303"/>
    </row>
    <row r="94" spans="3:14" s="39" customFormat="1">
      <c r="C94" s="295"/>
      <c r="I94" s="303"/>
      <c r="J94" s="303"/>
      <c r="K94" s="303"/>
      <c r="L94"/>
      <c r="M94" s="303"/>
      <c r="N94" s="303"/>
    </row>
    <row r="95" spans="3:14" s="39" customFormat="1">
      <c r="C95" s="295"/>
      <c r="I95" s="303"/>
      <c r="J95" s="303"/>
      <c r="K95" s="303"/>
      <c r="L95"/>
      <c r="M95" s="303"/>
      <c r="N95" s="303"/>
    </row>
    <row r="96" spans="3:14" s="39" customFormat="1">
      <c r="C96" s="295"/>
      <c r="I96" s="303"/>
      <c r="J96" s="303"/>
      <c r="K96" s="303"/>
      <c r="L96"/>
      <c r="M96" s="303"/>
      <c r="N96" s="303"/>
    </row>
    <row r="97" spans="3:14" s="39" customFormat="1">
      <c r="C97" s="295"/>
      <c r="I97" s="303"/>
      <c r="J97" s="303"/>
      <c r="K97" s="303"/>
      <c r="L97"/>
      <c r="M97" s="303"/>
      <c r="N97" s="303"/>
    </row>
    <row r="98" spans="3:14" s="39" customFormat="1">
      <c r="C98" s="295"/>
      <c r="I98" s="303"/>
      <c r="J98" s="303"/>
      <c r="K98" s="303"/>
      <c r="L98"/>
      <c r="M98" s="303"/>
      <c r="N98" s="303"/>
    </row>
    <row r="99" spans="3:14" s="39" customFormat="1">
      <c r="C99" s="295"/>
      <c r="I99" s="303"/>
      <c r="J99" s="303"/>
      <c r="K99" s="303"/>
      <c r="L99"/>
      <c r="M99" s="303"/>
      <c r="N99" s="303"/>
    </row>
    <row r="100" spans="3:14" s="39" customFormat="1">
      <c r="C100" s="295"/>
      <c r="I100" s="303"/>
      <c r="J100" s="303"/>
      <c r="K100" s="303"/>
      <c r="L100"/>
      <c r="M100" s="303"/>
      <c r="N100" s="303"/>
    </row>
    <row r="101" spans="3:14" s="39" customFormat="1">
      <c r="C101" s="295"/>
      <c r="I101" s="303"/>
      <c r="J101" s="303"/>
      <c r="K101" s="303"/>
      <c r="L101"/>
      <c r="M101" s="303"/>
      <c r="N101" s="303"/>
    </row>
    <row r="102" spans="3:14" s="39" customFormat="1">
      <c r="C102" s="295"/>
      <c r="I102" s="303"/>
      <c r="J102" s="303"/>
      <c r="K102" s="303"/>
      <c r="L102"/>
      <c r="M102" s="303"/>
      <c r="N102" s="303"/>
    </row>
    <row r="103" spans="3:14" s="39" customFormat="1">
      <c r="C103" s="295"/>
      <c r="I103" s="303"/>
      <c r="J103" s="303"/>
      <c r="K103" s="303"/>
      <c r="L103"/>
      <c r="M103" s="303"/>
      <c r="N103" s="303"/>
    </row>
    <row r="104" spans="3:14" s="39" customFormat="1">
      <c r="C104" s="295"/>
      <c r="I104" s="303"/>
      <c r="J104" s="303"/>
      <c r="K104" s="303"/>
      <c r="L104"/>
      <c r="M104" s="303"/>
      <c r="N104" s="303"/>
    </row>
    <row r="105" spans="3:14" s="39" customFormat="1">
      <c r="C105" s="295"/>
      <c r="I105" s="303"/>
      <c r="J105" s="303"/>
      <c r="K105" s="303"/>
      <c r="L105"/>
      <c r="M105" s="303"/>
      <c r="N105" s="303"/>
    </row>
    <row r="106" spans="3:14" s="39" customFormat="1">
      <c r="C106" s="295"/>
      <c r="I106" s="303"/>
      <c r="J106" s="303"/>
      <c r="K106" s="303"/>
      <c r="L106"/>
      <c r="M106" s="303"/>
      <c r="N106" s="303"/>
    </row>
    <row r="107" spans="3:14" s="39" customFormat="1">
      <c r="C107" s="295"/>
      <c r="I107" s="303"/>
      <c r="J107" s="303"/>
      <c r="K107" s="303"/>
      <c r="L107"/>
      <c r="M107" s="303"/>
      <c r="N107" s="303"/>
    </row>
    <row r="108" spans="3:14" s="39" customFormat="1">
      <c r="C108" s="295"/>
      <c r="I108" s="303"/>
      <c r="J108" s="303"/>
      <c r="K108" s="303"/>
      <c r="L108"/>
      <c r="M108" s="303"/>
      <c r="N108" s="303"/>
    </row>
    <row r="109" spans="3:14" s="39" customFormat="1">
      <c r="C109" s="295"/>
      <c r="I109" s="303"/>
      <c r="J109" s="303"/>
      <c r="K109" s="303"/>
      <c r="L109"/>
      <c r="M109" s="303"/>
      <c r="N109" s="303"/>
    </row>
    <row r="110" spans="3:14" s="39" customFormat="1">
      <c r="C110" s="295"/>
      <c r="I110" s="303"/>
      <c r="J110" s="303"/>
      <c r="K110" s="303"/>
      <c r="L110"/>
      <c r="M110" s="303"/>
      <c r="N110" s="303"/>
    </row>
    <row r="111" spans="3:14" s="39" customFormat="1">
      <c r="C111" s="295"/>
      <c r="I111" s="303"/>
      <c r="J111" s="303"/>
      <c r="K111" s="303"/>
      <c r="L111"/>
      <c r="M111" s="303"/>
      <c r="N111" s="303"/>
    </row>
    <row r="112" spans="3:14" s="39" customFormat="1">
      <c r="C112" s="295"/>
      <c r="I112" s="303"/>
      <c r="J112" s="303"/>
      <c r="K112" s="303"/>
      <c r="L112"/>
      <c r="M112" s="303"/>
      <c r="N112" s="303"/>
    </row>
    <row r="113" spans="3:14" s="39" customFormat="1">
      <c r="C113" s="295"/>
      <c r="I113" s="303"/>
      <c r="J113" s="303"/>
      <c r="K113" s="303"/>
      <c r="L113"/>
      <c r="M113" s="303"/>
      <c r="N113" s="303"/>
    </row>
    <row r="114" spans="3:14" s="39" customFormat="1">
      <c r="C114" s="295"/>
      <c r="I114" s="303"/>
      <c r="J114" s="303"/>
      <c r="K114" s="303"/>
      <c r="L114"/>
      <c r="M114" s="303"/>
      <c r="N114" s="303"/>
    </row>
    <row r="115" spans="3:14" s="39" customFormat="1">
      <c r="C115" s="295"/>
      <c r="I115" s="303"/>
      <c r="J115" s="303"/>
      <c r="K115" s="303"/>
      <c r="L115"/>
      <c r="M115" s="303"/>
      <c r="N115" s="303"/>
    </row>
    <row r="116" spans="3:14" s="39" customFormat="1">
      <c r="C116" s="295"/>
      <c r="I116" s="303"/>
      <c r="J116" s="303"/>
      <c r="K116" s="303"/>
      <c r="L116"/>
      <c r="M116" s="303"/>
      <c r="N116" s="303"/>
    </row>
    <row r="117" spans="3:14" s="39" customFormat="1">
      <c r="C117" s="295"/>
      <c r="I117" s="303"/>
      <c r="J117" s="303"/>
      <c r="K117" s="303"/>
      <c r="L117"/>
      <c r="M117" s="303"/>
      <c r="N117" s="303"/>
    </row>
    <row r="118" spans="3:14" s="39" customFormat="1">
      <c r="C118" s="295"/>
      <c r="I118" s="303"/>
      <c r="J118" s="303"/>
      <c r="K118" s="303"/>
      <c r="L118"/>
      <c r="M118" s="303"/>
      <c r="N118" s="303"/>
    </row>
    <row r="119" spans="3:14" s="39" customFormat="1">
      <c r="C119" s="295"/>
      <c r="I119" s="303"/>
      <c r="J119" s="303"/>
      <c r="K119" s="303"/>
      <c r="L119"/>
      <c r="M119" s="303"/>
      <c r="N119" s="303"/>
    </row>
    <row r="120" spans="3:14" s="39" customFormat="1">
      <c r="C120" s="295"/>
      <c r="I120" s="303"/>
      <c r="J120" s="303"/>
      <c r="K120" s="303"/>
      <c r="L120"/>
      <c r="M120" s="303"/>
      <c r="N120" s="303"/>
    </row>
    <row r="121" spans="3:14" s="39" customFormat="1">
      <c r="C121" s="295"/>
      <c r="I121" s="303"/>
      <c r="J121" s="303"/>
      <c r="K121" s="303"/>
      <c r="L121"/>
      <c r="M121" s="303"/>
      <c r="N121" s="303"/>
    </row>
    <row r="122" spans="3:14" s="39" customFormat="1">
      <c r="C122" s="295"/>
      <c r="I122" s="303"/>
      <c r="J122" s="303"/>
      <c r="K122" s="303"/>
      <c r="L122"/>
      <c r="M122" s="303"/>
      <c r="N122" s="303"/>
    </row>
    <row r="123" spans="3:14" s="39" customFormat="1">
      <c r="C123" s="295"/>
      <c r="I123" s="303"/>
      <c r="J123" s="303"/>
      <c r="K123" s="303"/>
      <c r="L123"/>
      <c r="M123" s="303"/>
      <c r="N123" s="303"/>
    </row>
    <row r="124" spans="3:14" s="39" customFormat="1">
      <c r="C124" s="295"/>
      <c r="I124" s="303"/>
      <c r="J124" s="303"/>
      <c r="K124" s="303"/>
      <c r="L124"/>
      <c r="M124" s="303"/>
      <c r="N124" s="303"/>
    </row>
    <row r="125" spans="3:14" s="39" customFormat="1">
      <c r="C125" s="295"/>
      <c r="I125" s="303"/>
      <c r="J125" s="303"/>
      <c r="K125" s="303"/>
      <c r="L125"/>
      <c r="M125" s="303"/>
      <c r="N125" s="303"/>
    </row>
    <row r="126" spans="3:14" s="39" customFormat="1">
      <c r="C126" s="295"/>
      <c r="I126" s="303"/>
      <c r="J126" s="303"/>
      <c r="K126" s="303"/>
      <c r="L126"/>
      <c r="M126" s="303"/>
      <c r="N126" s="303"/>
    </row>
    <row r="127" spans="3:14" s="39" customFormat="1">
      <c r="C127" s="295"/>
      <c r="I127" s="303"/>
      <c r="J127" s="303"/>
      <c r="K127" s="303"/>
      <c r="L127"/>
      <c r="M127" s="303"/>
      <c r="N127" s="303"/>
    </row>
    <row r="128" spans="3:14" s="39" customFormat="1">
      <c r="C128" s="295"/>
      <c r="I128" s="303"/>
      <c r="J128" s="303"/>
      <c r="K128" s="303"/>
      <c r="L128"/>
      <c r="M128" s="303"/>
      <c r="N128" s="303"/>
    </row>
    <row r="129" spans="3:14" s="39" customFormat="1">
      <c r="C129" s="295"/>
      <c r="I129" s="303"/>
      <c r="J129" s="303"/>
      <c r="K129" s="303"/>
      <c r="L129"/>
      <c r="M129" s="303"/>
      <c r="N129" s="303"/>
    </row>
    <row r="130" spans="3:14" s="39" customFormat="1">
      <c r="C130" s="295"/>
      <c r="I130" s="303"/>
      <c r="J130" s="303"/>
      <c r="K130" s="303"/>
      <c r="L130"/>
      <c r="M130" s="303"/>
      <c r="N130" s="303"/>
    </row>
    <row r="131" spans="3:14" s="39" customFormat="1">
      <c r="C131" s="295"/>
      <c r="I131" s="303"/>
      <c r="J131" s="303"/>
      <c r="K131" s="303"/>
      <c r="L131"/>
      <c r="M131" s="303"/>
      <c r="N131" s="303"/>
    </row>
    <row r="132" spans="3:14" s="39" customFormat="1">
      <c r="C132" s="295"/>
      <c r="I132" s="303"/>
      <c r="J132" s="303"/>
      <c r="K132" s="303"/>
      <c r="L132"/>
      <c r="M132" s="303"/>
      <c r="N132" s="303"/>
    </row>
    <row r="133" spans="3:14" s="39" customFormat="1">
      <c r="C133" s="295"/>
      <c r="I133" s="303"/>
      <c r="J133" s="303"/>
      <c r="K133" s="303"/>
      <c r="L133"/>
      <c r="M133" s="303"/>
      <c r="N133" s="303"/>
    </row>
    <row r="134" spans="3:14" s="39" customFormat="1">
      <c r="C134" s="295"/>
      <c r="I134" s="303"/>
      <c r="J134" s="303"/>
      <c r="K134" s="303"/>
      <c r="L134"/>
      <c r="M134" s="303"/>
      <c r="N134" s="303"/>
    </row>
    <row r="135" spans="3:14" s="39" customFormat="1">
      <c r="C135" s="295"/>
      <c r="I135" s="303"/>
      <c r="J135" s="303"/>
      <c r="K135" s="303"/>
      <c r="L135"/>
      <c r="M135" s="303"/>
      <c r="N135" s="303"/>
    </row>
    <row r="136" spans="3:14" s="39" customFormat="1">
      <c r="C136" s="295"/>
      <c r="I136" s="303"/>
      <c r="J136" s="303"/>
      <c r="K136" s="303"/>
      <c r="L136"/>
      <c r="M136" s="303"/>
      <c r="N136" s="303"/>
    </row>
    <row r="137" spans="3:14" s="39" customFormat="1">
      <c r="C137" s="295"/>
      <c r="I137" s="303"/>
      <c r="J137" s="303"/>
      <c r="K137" s="303"/>
      <c r="L137"/>
      <c r="M137" s="303"/>
      <c r="N137" s="303"/>
    </row>
    <row r="138" spans="3:14" s="39" customFormat="1">
      <c r="C138" s="295"/>
      <c r="I138" s="303"/>
      <c r="J138" s="303"/>
      <c r="K138" s="303"/>
      <c r="L138"/>
      <c r="M138" s="303"/>
      <c r="N138" s="303"/>
    </row>
    <row r="139" spans="3:14" s="39" customFormat="1">
      <c r="C139" s="295"/>
      <c r="I139" s="303"/>
      <c r="J139" s="303"/>
      <c r="K139" s="303"/>
      <c r="L139"/>
      <c r="M139" s="303"/>
      <c r="N139" s="303"/>
    </row>
    <row r="140" spans="3:14" s="39" customFormat="1">
      <c r="C140" s="295"/>
      <c r="I140" s="303"/>
      <c r="J140" s="303"/>
      <c r="K140" s="303"/>
      <c r="L140"/>
      <c r="M140" s="303"/>
      <c r="N140" s="303"/>
    </row>
    <row r="141" spans="3:14" s="39" customFormat="1">
      <c r="C141" s="295"/>
      <c r="I141" s="303"/>
      <c r="J141" s="303"/>
      <c r="K141" s="303"/>
      <c r="L141"/>
      <c r="M141" s="303"/>
      <c r="N141" s="303"/>
    </row>
    <row r="142" spans="3:14" s="39" customFormat="1">
      <c r="C142" s="295"/>
      <c r="I142" s="303"/>
      <c r="J142" s="303"/>
      <c r="K142" s="303"/>
      <c r="L142"/>
      <c r="M142" s="303"/>
      <c r="N142" s="303"/>
    </row>
    <row r="143" spans="3:14" s="39" customFormat="1">
      <c r="C143" s="295"/>
      <c r="I143" s="303"/>
      <c r="J143" s="303"/>
      <c r="K143" s="303"/>
      <c r="L143"/>
      <c r="M143" s="303"/>
      <c r="N143" s="303"/>
    </row>
  </sheetData>
  <sheetProtection algorithmName="SHA-512" hashValue="clQRmqYhqb3VFWvQ1KlXFWnzXhb3W4UzYBB8kUKQMMQyzOgLGRbtJ3cCyI+1RMU/5exr81X61GDvruUUwObf9w==" saltValue="N/ZapPpC86Vvz00ZZnKIDQ==" spinCount="100000" sheet="1" formatColumns="0" formatRows="0" insertColumns="0" insertRows="0"/>
  <mergeCells count="1">
    <mergeCell ref="B2:N2"/>
  </mergeCells>
  <dataValidations count="1">
    <dataValidation allowBlank="1" sqref="D6:D25" xr:uid="{00000000-0002-0000-0400-000000000000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'Mão de Obra'!$D$25:$XO$25</xm:f>
          </x14:formula1>
          <xm:sqref>F6:F25</xm:sqref>
        </x14:dataValidation>
        <x14:dataValidation type="list" allowBlank="1" showInputMessage="1" showErrorMessage="1" xr:uid="{00000000-0002-0000-0400-000002000000}">
          <x14:formula1>
            <xm:f>'Mão de Obra'!$D$17:$XO$17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B1:O63"/>
  <sheetViews>
    <sheetView showGridLines="0" zoomScale="85" zoomScaleNormal="85" workbookViewId="0">
      <selection activeCell="L45" sqref="L45"/>
    </sheetView>
  </sheetViews>
  <sheetFormatPr defaultColWidth="9.140625" defaultRowHeight="15"/>
  <cols>
    <col min="1" max="1" width="1.5703125" customWidth="1"/>
    <col min="2" max="2" width="20" customWidth="1"/>
    <col min="3" max="3" width="12" customWidth="1"/>
    <col min="4" max="6" width="14.140625" customWidth="1"/>
    <col min="7" max="7" width="16.140625" customWidth="1"/>
    <col min="8" max="9" width="14.7109375" customWidth="1"/>
    <col min="10" max="10" width="17" bestFit="1" customWidth="1"/>
    <col min="11" max="11" width="18.140625" bestFit="1" customWidth="1"/>
    <col min="12" max="12" width="17.140625" bestFit="1" customWidth="1"/>
    <col min="13" max="13" width="1.42578125" customWidth="1"/>
    <col min="14" max="14" width="13.28515625" bestFit="1" customWidth="1"/>
    <col min="16" max="16" width="14.28515625" bestFit="1" customWidth="1"/>
  </cols>
  <sheetData>
    <row r="1" spans="2:12" ht="6.75" customHeight="1"/>
    <row r="2" spans="2:12" ht="26.25">
      <c r="B2" s="931" t="s">
        <v>78</v>
      </c>
      <c r="C2" s="932"/>
      <c r="D2" s="932"/>
      <c r="E2" s="932"/>
      <c r="F2" s="932"/>
      <c r="G2" s="932"/>
      <c r="H2" s="932"/>
      <c r="I2" s="932"/>
      <c r="J2" s="932"/>
      <c r="K2" s="933"/>
    </row>
    <row r="3" spans="2:12" ht="21">
      <c r="B3" s="940" t="str">
        <f>IF(IFERROR(SUM(Produtividade!L195:L220)&gt;0,FALSE()),Produtividade!D5,
IF(IFERROR(Veículos!$E$3&lt;&gt;"",FALSE()),'Mão de Obra'!D5,'Mão de Obra'!D5))</f>
        <v>SECRETARIA DE DESENVOLVIMENTO SOCIAL</v>
      </c>
      <c r="C3" s="941"/>
      <c r="D3" s="941"/>
      <c r="E3" s="941"/>
      <c r="F3" s="941"/>
      <c r="G3" s="941"/>
      <c r="H3" s="941"/>
      <c r="I3" s="941"/>
      <c r="J3" s="941"/>
      <c r="K3" s="942"/>
    </row>
    <row r="4" spans="2:12" ht="21">
      <c r="B4" s="934" t="s">
        <v>627</v>
      </c>
      <c r="C4" s="935"/>
      <c r="D4" s="935"/>
      <c r="E4" s="935"/>
      <c r="F4" s="935"/>
      <c r="G4" s="935"/>
      <c r="H4" s="935"/>
      <c r="I4" s="935"/>
      <c r="J4" s="935"/>
      <c r="K4" s="936"/>
    </row>
    <row r="5" spans="2:12" ht="6.75" customHeight="1"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</row>
    <row r="6" spans="2:12" ht="15" customHeight="1">
      <c r="B6" s="813" t="s">
        <v>624</v>
      </c>
      <c r="C6" s="955" t="str">
        <f>IF(IFERROR(SUM(Produtividade!L195:L220)&gt;0,FALSE()),Produtividade!D6,
IF(IFERROR(Veículos!$E$3&lt;&gt;"",FALSE()),'Mão de Obra'!D6,
'Mão de Obra'!D6))</f>
        <v>15/2024</v>
      </c>
      <c r="D6" s="955"/>
      <c r="E6" s="955"/>
      <c r="F6" s="955"/>
      <c r="G6" s="954" t="s">
        <v>73</v>
      </c>
      <c r="H6" s="954"/>
      <c r="I6" s="954"/>
      <c r="J6" s="951">
        <f>IF(IFERROR(SUM(Produtividade!L195:L220)&gt;0,FALSE()),Produtividade!D12,
IF(IFERROR(Veículos!$E$3&lt;&gt;"",FALSE()),'Mão de Obra'!D12,
'Mão de Obra'!D12))</f>
        <v>6</v>
      </c>
      <c r="K6" s="952"/>
    </row>
    <row r="7" spans="2:12" ht="15" customHeight="1">
      <c r="B7" s="814" t="s">
        <v>233</v>
      </c>
      <c r="C7" s="956">
        <f>IF(IFERROR(SUM(Produtividade!L195:L220)&gt;0,FALSE()),Produtividade!D7,
IF(IFERROR(Veículos!$E$3&lt;&gt;"",FALSE()),'Mão de Obra'!D7,
'Mão de Obra'!D7))</f>
        <v>0</v>
      </c>
      <c r="D7" s="956"/>
      <c r="E7" s="956"/>
      <c r="F7" s="956"/>
      <c r="G7" s="953" t="s">
        <v>138</v>
      </c>
      <c r="H7" s="953"/>
      <c r="I7" s="953"/>
      <c r="J7" s="938" t="str">
        <f>IF(IFERROR(SUM(Produtividade!L195:L220)&gt;0,FALSE()),Produtividade!D11,
IF(IFERROR(Veículos!$E$3&lt;&gt;"",FALSE()),'Mão de Obra'!D11,
'Mão de Obra'!D11))</f>
        <v>Mês</v>
      </c>
      <c r="K7" s="939"/>
    </row>
    <row r="8" spans="2:12" ht="30" customHeight="1">
      <c r="B8" s="946" t="str">
        <f>CONCATENATE("OBJETO: ",
IF(IFERROR(SUM(Produtividade!L195:L220)&gt;0,FALSE()),Produtividade!D8,
IF(IFERROR(Veículos!$E$3&lt;&gt;"",FALSE()),'Mão de Obra'!D8,
'Mão de Obra'!D8)))</f>
        <v>OBJETO: Contratação de Agentes Sociais</v>
      </c>
      <c r="C8" s="947"/>
      <c r="D8" s="947"/>
      <c r="E8" s="947"/>
      <c r="F8" s="947"/>
      <c r="G8" s="947"/>
      <c r="H8" s="947"/>
      <c r="I8" s="947"/>
      <c r="J8" s="947"/>
      <c r="K8" s="948"/>
    </row>
    <row r="9" spans="2:12" ht="15" customHeight="1">
      <c r="B9" s="814" t="s">
        <v>66</v>
      </c>
      <c r="C9" s="937"/>
      <c r="D9" s="937"/>
      <c r="E9" s="937"/>
      <c r="F9" s="937"/>
      <c r="G9" s="953" t="s">
        <v>406</v>
      </c>
      <c r="H9" s="953"/>
      <c r="I9" s="815"/>
      <c r="J9" s="938" t="str">
        <f>IF(IFERROR(SUM(Produtividade!L195:L220)&gt;0,FALSE()),Produtividade!D13,
IF(IFERROR(Veículos!$E$3&lt;&gt;"",FALSE()),'Mão de Obra'!D13,
'Mão de Obra'!D13))</f>
        <v>Lucro Real</v>
      </c>
      <c r="K9" s="939"/>
    </row>
    <row r="10" spans="2:12">
      <c r="B10" s="816" t="s">
        <v>75</v>
      </c>
      <c r="C10" s="974"/>
      <c r="D10" s="974"/>
      <c r="E10" s="974"/>
      <c r="F10" s="974"/>
      <c r="G10" s="943" t="s">
        <v>407</v>
      </c>
      <c r="H10" s="943"/>
      <c r="I10" s="817"/>
      <c r="J10" s="959">
        <f>IF(IFERROR(SUM(Produtividade!L195:L220)&gt;0,FALSE()),Produtividade!D14,
IF(IFERROR(Veículos!$E$3&lt;&gt;"",FALSE()),'Mão de Obra'!D14,
'Mão de Obra'!D14))</f>
        <v>0</v>
      </c>
      <c r="K10" s="960"/>
    </row>
    <row r="11" spans="2:12" ht="15" customHeight="1">
      <c r="B11" s="816" t="s">
        <v>67</v>
      </c>
      <c r="C11" s="937"/>
      <c r="D11" s="937"/>
      <c r="E11" s="937"/>
      <c r="F11" s="937"/>
      <c r="G11" s="943" t="s">
        <v>77</v>
      </c>
      <c r="H11" s="943"/>
      <c r="I11" s="974"/>
      <c r="J11" s="974"/>
      <c r="K11" s="976"/>
    </row>
    <row r="12" spans="2:12">
      <c r="B12" s="818" t="s">
        <v>68</v>
      </c>
      <c r="C12" s="957"/>
      <c r="D12" s="957"/>
      <c r="E12" s="957"/>
      <c r="F12" s="957"/>
      <c r="G12" s="943" t="s">
        <v>409</v>
      </c>
      <c r="H12" s="943"/>
      <c r="I12" s="977"/>
      <c r="J12" s="977"/>
      <c r="K12" s="978"/>
    </row>
    <row r="13" spans="2:12">
      <c r="B13" s="819" t="s">
        <v>76</v>
      </c>
      <c r="C13" s="975"/>
      <c r="D13" s="975"/>
      <c r="E13" s="975"/>
      <c r="F13" s="975"/>
      <c r="G13" s="944" t="s">
        <v>69</v>
      </c>
      <c r="H13" s="944"/>
      <c r="I13" s="979"/>
      <c r="J13" s="979"/>
      <c r="K13" s="980"/>
    </row>
    <row r="14" spans="2:12" ht="6.75" customHeight="1">
      <c r="B14" s="820"/>
      <c r="C14" s="820"/>
      <c r="D14" s="820"/>
      <c r="E14" s="820"/>
      <c r="F14" s="820"/>
      <c r="G14" s="820"/>
      <c r="H14" s="820"/>
      <c r="I14" s="820"/>
      <c r="J14" s="820"/>
    </row>
    <row r="15" spans="2:12">
      <c r="B15" s="821" t="s">
        <v>513</v>
      </c>
      <c r="C15" s="822"/>
      <c r="D15" s="822"/>
      <c r="E15" s="822"/>
      <c r="F15" s="822"/>
      <c r="G15" s="822"/>
      <c r="H15" s="822"/>
      <c r="I15" s="822"/>
      <c r="J15" s="822"/>
      <c r="K15" s="823"/>
    </row>
    <row r="16" spans="2:12" ht="30">
      <c r="B16" s="824" t="s">
        <v>72</v>
      </c>
      <c r="C16" s="825" t="s">
        <v>137</v>
      </c>
      <c r="D16" s="825" t="s">
        <v>71</v>
      </c>
      <c r="E16" s="825" t="s">
        <v>510</v>
      </c>
      <c r="F16" s="826" t="s">
        <v>511</v>
      </c>
      <c r="G16" s="826" t="s">
        <v>524</v>
      </c>
      <c r="H16" s="826" t="s">
        <v>525</v>
      </c>
      <c r="I16" s="826" t="s">
        <v>526</v>
      </c>
      <c r="J16" s="826" t="s">
        <v>537</v>
      </c>
      <c r="K16" s="827" t="s">
        <v>497</v>
      </c>
    </row>
    <row r="17" spans="2:15">
      <c r="B17" s="828" t="str">
        <f>IF(
INDEX('Mão de Obra'!$E$18:$AD$18,1,ROW()-ROW($B$16))&lt;&gt;0,
INDEX('Mão de Obra'!$E$18:$AD$18,1,ROW()-ROW($B$16)),
"EXCLUIR ESTA LINHA"
)</f>
        <v>Agente  Social</v>
      </c>
      <c r="C17" s="634" t="str">
        <f>INDEX('Mão de Obra'!$E$25:$AD$25,1,ROW()-ROW($C$16))</f>
        <v>Abrigos</v>
      </c>
      <c r="D17" s="635" t="str">
        <f>INDEX('Mão de Obra'!$E$26:$AD$26,1,ROW()-ROW($D$16))</f>
        <v>12x36 Diurno</v>
      </c>
      <c r="E17" s="636">
        <f>INDEX('Mão de Obra'!$E$27:$AD$27,1,ROW()-ROW($E$16))</f>
        <v>0</v>
      </c>
      <c r="F17" s="636">
        <f>INDEX('Mão de Obra'!$E$29:$AD$29,1,ROW()-ROW($F$16))</f>
        <v>0</v>
      </c>
      <c r="G17" s="637">
        <f>INDEX('Mão de Obra'!$E$173:$AI$173,1,ROW()-ROW($G$16))</f>
        <v>35.89</v>
      </c>
      <c r="H17" s="637">
        <f>INDEX('Mão de Obra'!$E$174:$AH$174,1,ROW()-ROW($I$16))</f>
        <v>430.72</v>
      </c>
      <c r="I17" s="637">
        <f>INDEX('Mão de Obra'!$E$176:$AH$176,1,ROW()-ROW($I$16))</f>
        <v>12921.72</v>
      </c>
      <c r="J17" s="637">
        <f>INDEX('Mão de Obra'!$E$182:$AH$182,1,ROW()-ROW($I$16))</f>
        <v>0</v>
      </c>
      <c r="K17" s="638">
        <f>INDEX('Mão de Obra'!$E$190:$AH$190,1,ROW()-ROW($I$16))</f>
        <v>0</v>
      </c>
      <c r="N17" s="829"/>
    </row>
    <row r="18" spans="2:15">
      <c r="B18" s="828" t="str">
        <f>IF(
INDEX('Mão de Obra'!$E$18:$AD$18,1,ROW()-ROW($B$16))&lt;&gt;0,
INDEX('Mão de Obra'!$E$18:$AD$18,1,ROW()-ROW($B$16)),
"EXCLUIR ESTA LINHA"
)</f>
        <v>Agente  Social</v>
      </c>
      <c r="C18" s="634" t="str">
        <f>INDEX('Mão de Obra'!$E$25:$AD$25,1,ROW()-ROW($C$16))</f>
        <v>Abrigos</v>
      </c>
      <c r="D18" s="635" t="str">
        <f>INDEX('Mão de Obra'!$E$26:$AD$26,1,ROW()-ROW($D$16))</f>
        <v>12x36 Noturno</v>
      </c>
      <c r="E18" s="636">
        <f>INDEX('Mão de Obra'!$E$27:$AD$27,1,ROW()-ROW($E$16))</f>
        <v>0</v>
      </c>
      <c r="F18" s="636">
        <f>INDEX('Mão de Obra'!$E$29:$AD$29,1,ROW()-ROW($F$16))</f>
        <v>0</v>
      </c>
      <c r="G18" s="637">
        <f>INDEX('Mão de Obra'!$E$173:$AI$173,1,ROW()-ROW($G$16))</f>
        <v>43.02</v>
      </c>
      <c r="H18" s="637">
        <f>INDEX('Mão de Obra'!$E$174:$AH$174,1,ROW()-ROW($I$16))</f>
        <v>516.29</v>
      </c>
      <c r="I18" s="637">
        <f>INDEX('Mão de Obra'!$E$176:$AH$176,1,ROW()-ROW($I$16))</f>
        <v>15488.82</v>
      </c>
      <c r="J18" s="637">
        <f>INDEX('Mão de Obra'!$E$182:$AH$182,1,ROW()-ROW($I$16))</f>
        <v>0</v>
      </c>
      <c r="K18" s="638">
        <f>INDEX('Mão de Obra'!$E$190:$AH$190,1,ROW()-ROW($I$16))</f>
        <v>0</v>
      </c>
      <c r="O18" s="830"/>
    </row>
    <row r="19" spans="2:15">
      <c r="B19" s="821"/>
      <c r="C19" s="822"/>
      <c r="D19" s="822"/>
      <c r="E19" s="831">
        <f>SUM(E17:E18)</f>
        <v>0</v>
      </c>
      <c r="F19" s="831">
        <f>SUM(F17:F18)</f>
        <v>0</v>
      </c>
      <c r="G19" s="639"/>
      <c r="H19" s="639"/>
      <c r="I19" s="639"/>
      <c r="J19" s="639">
        <f>SUM(J17:J18)</f>
        <v>0</v>
      </c>
      <c r="K19" s="640">
        <f>SUM(K17:K18)</f>
        <v>0</v>
      </c>
    </row>
    <row r="21" spans="2:15">
      <c r="B21" s="832" t="s">
        <v>607</v>
      </c>
      <c r="C21" s="833"/>
      <c r="D21" s="833"/>
      <c r="E21" s="833"/>
      <c r="F21" s="833"/>
      <c r="G21" s="833"/>
      <c r="H21" s="833"/>
      <c r="I21" s="833"/>
      <c r="J21" s="833"/>
      <c r="K21" s="834"/>
    </row>
    <row r="22" spans="2:15">
      <c r="B22" s="835" t="s">
        <v>608</v>
      </c>
      <c r="C22" s="836"/>
      <c r="D22" s="836"/>
      <c r="E22" s="836"/>
      <c r="F22" s="837"/>
      <c r="G22" s="837"/>
      <c r="H22" s="837"/>
      <c r="I22" s="837"/>
      <c r="J22" s="837" t="s">
        <v>537</v>
      </c>
      <c r="K22" s="838" t="s">
        <v>497</v>
      </c>
    </row>
    <row r="23" spans="2:15">
      <c r="B23" s="949" t="s">
        <v>608</v>
      </c>
      <c r="C23" s="950"/>
      <c r="D23" s="950"/>
      <c r="E23" s="636"/>
      <c r="F23" s="636"/>
      <c r="G23" s="637"/>
      <c r="H23" s="637"/>
      <c r="I23" s="637"/>
      <c r="J23" s="637">
        <f>'Mat Coletivo e Equipamentos'!$M$4</f>
        <v>0</v>
      </c>
      <c r="K23" s="638">
        <f>'Mat Coletivo e Equipamentos'!$N$4</f>
        <v>0</v>
      </c>
    </row>
    <row r="24" spans="2:15">
      <c r="B24" s="832"/>
      <c r="C24" s="833"/>
      <c r="D24" s="833"/>
      <c r="E24" s="839"/>
      <c r="F24" s="839"/>
      <c r="G24" s="641"/>
      <c r="H24" s="641"/>
      <c r="I24" s="641"/>
      <c r="J24" s="641">
        <f>SUM(J23)</f>
        <v>0</v>
      </c>
      <c r="K24" s="642">
        <f>SUM(K23)</f>
        <v>0</v>
      </c>
      <c r="M24" s="840"/>
    </row>
    <row r="25" spans="2:15" ht="6.75" customHeight="1">
      <c r="B25" s="3"/>
      <c r="C25" s="3"/>
      <c r="D25" s="3"/>
      <c r="E25" s="3"/>
      <c r="F25" s="841"/>
      <c r="G25" s="643"/>
      <c r="H25" s="643"/>
      <c r="I25" s="643"/>
      <c r="J25" s="643"/>
      <c r="K25" s="643"/>
    </row>
    <row r="26" spans="2:15" ht="6.75" customHeight="1">
      <c r="B26" s="3"/>
      <c r="C26" s="3"/>
      <c r="D26" s="3"/>
      <c r="E26" s="3"/>
      <c r="F26" s="841"/>
      <c r="G26" s="841"/>
      <c r="H26" s="643"/>
      <c r="I26" s="643"/>
      <c r="J26" s="643"/>
      <c r="K26" s="643"/>
    </row>
    <row r="27" spans="2:15" ht="6.75" customHeight="1"/>
    <row r="28" spans="2:15">
      <c r="B28" s="821" t="s">
        <v>512</v>
      </c>
      <c r="C28" s="822"/>
      <c r="D28" s="822"/>
      <c r="E28" s="822"/>
      <c r="F28" s="822"/>
      <c r="G28" s="822"/>
      <c r="H28" s="822"/>
      <c r="I28" s="842"/>
      <c r="J28" s="842"/>
      <c r="K28" s="843"/>
    </row>
    <row r="29" spans="2:15">
      <c r="B29" s="844" t="s">
        <v>337</v>
      </c>
      <c r="C29" s="845"/>
      <c r="D29" s="845"/>
      <c r="E29" s="845"/>
      <c r="F29" s="845"/>
      <c r="G29" s="845"/>
      <c r="H29" s="845"/>
      <c r="I29" s="845"/>
      <c r="J29" s="846" t="s">
        <v>410</v>
      </c>
      <c r="K29" s="847" t="s">
        <v>433</v>
      </c>
    </row>
    <row r="30" spans="2:15">
      <c r="B30" s="848" t="s">
        <v>284</v>
      </c>
      <c r="C30" s="3"/>
      <c r="D30" s="3"/>
      <c r="E30" s="3"/>
      <c r="F30" s="3"/>
      <c r="G30" s="3"/>
      <c r="H30" s="3"/>
      <c r="I30" s="644"/>
      <c r="J30" s="645">
        <f>SUM(
IFERROR(SUM(Produtividade!$E187:$XFD187),0),
IFERROR(SUMPRODUCT('Mão de Obra'!$E$179:$XFD$179,'Mão de Obra'!$E$185:$XFD$185),0)
)</f>
        <v>0</v>
      </c>
      <c r="K30" s="646">
        <f>SUM(
IFERROR(SUM('Mão de Obra'!E187:XJ187),0),
IFERROR(SUM(Produtividade!E187:XX187),0))</f>
        <v>0</v>
      </c>
      <c r="L30" s="840"/>
    </row>
    <row r="31" spans="2:15">
      <c r="B31" s="848" t="s">
        <v>360</v>
      </c>
      <c r="I31" s="647"/>
      <c r="J31" s="29">
        <f>SUM(
IFERROR(SUMPRODUCT(Produtividade!E148:XFD148,Produtividade!$E$29:$XFD$29),0),
IFERROR(SUMPRODUCT('Mão de Obra'!E148:XFD148,'Mão de Obra'!$E$29:$XFD$29,'Mão de Obra'!$E$185:$XFD$185),0)
)</f>
        <v>0</v>
      </c>
      <c r="K31" s="646">
        <f>IFERROR(SUM(
IFERROR(SUMPRODUCT('Mão de Obra'!E148:XFD148,'Mão de Obra'!$E$29:$XFD$29,'Mão de Obra'!$E$186:$XFD$186),0),
IFERROR(SUMPRODUCT(Produtividade!E148:XFD148,Produtividade!$E$29:$XFD$29,Produtividade!$E$186:$XFD$186),0)
),"")</f>
        <v>0</v>
      </c>
      <c r="L31" s="840"/>
      <c r="N31" s="840"/>
    </row>
    <row r="32" spans="2:15">
      <c r="B32" s="848" t="s">
        <v>359</v>
      </c>
      <c r="I32" s="647"/>
      <c r="J32" s="29">
        <f>K32/$J$6</f>
        <v>0</v>
      </c>
      <c r="K32" s="646">
        <f>SUMPRODUCT('Mat Coletivo e Equipamentos'!H:H,'Mat Coletivo e Equipamentos'!I:I,'Mat Coletivo e Equipamentos'!L:L)*J6</f>
        <v>0</v>
      </c>
      <c r="L32" s="840"/>
    </row>
    <row r="33" spans="2:12">
      <c r="B33" s="848" t="s">
        <v>518</v>
      </c>
      <c r="I33" s="647"/>
      <c r="J33" s="25">
        <f>IFERROR(SUM(Veículos!E93:DG93),0)</f>
        <v>0</v>
      </c>
      <c r="K33" s="646">
        <f>IFERROR(J33*$J$6,0)</f>
        <v>0</v>
      </c>
      <c r="L33" s="840"/>
    </row>
    <row r="34" spans="2:12">
      <c r="B34" s="849" t="s">
        <v>336</v>
      </c>
      <c r="C34" s="850"/>
      <c r="D34" s="850"/>
      <c r="E34" s="850"/>
      <c r="F34" s="850"/>
      <c r="G34" s="850"/>
      <c r="H34" s="850"/>
      <c r="I34" s="648"/>
      <c r="J34" s="50">
        <f>IFERROR(SUM(J30:J33),0)</f>
        <v>0</v>
      </c>
      <c r="K34" s="51">
        <f>SUM(K30:K33)</f>
        <v>0</v>
      </c>
      <c r="L34" s="840"/>
    </row>
    <row r="35" spans="2:12">
      <c r="B35" s="851" t="s">
        <v>224</v>
      </c>
      <c r="C35" s="852"/>
      <c r="D35" s="852"/>
      <c r="E35" s="852"/>
      <c r="F35" s="852"/>
      <c r="G35" s="852"/>
      <c r="H35" s="852"/>
      <c r="I35" s="853"/>
      <c r="J35" s="371"/>
      <c r="K35" s="372"/>
      <c r="L35" s="840"/>
    </row>
    <row r="36" spans="2:12">
      <c r="B36" s="848" t="s">
        <v>339</v>
      </c>
      <c r="C36" s="257"/>
      <c r="F36" s="25"/>
      <c r="I36" s="854"/>
      <c r="J36" s="25">
        <f>SUM(
IFERROR(SUMPRODUCT('Mão de Obra'!E155:XFD155,'Mão de Obra'!$E$29:$XFD$29,'Mão de Obra'!$E$185:$XFD$185),0),
IFERROR(SUMPRODUCT(Produtividade!E155:XFD155,Produtividade!$E$29:$XFD$29,Produtividade!$E$185:$XFD$185),0),
IFERROR(SUMPRODUCT(Veículos!E64:XFD64,Veículos!$E$4:$XFD$4),0)
)
+J32*('Mão de Obra'!$D$155)</f>
        <v>0</v>
      </c>
      <c r="K36" s="26">
        <f>J36*$J$6</f>
        <v>0</v>
      </c>
      <c r="L36" s="840"/>
    </row>
    <row r="37" spans="2:12">
      <c r="B37" s="848" t="s">
        <v>279</v>
      </c>
      <c r="C37" s="257"/>
      <c r="F37" s="25"/>
      <c r="H37" s="30"/>
      <c r="I37" s="854"/>
      <c r="J37" s="25">
        <f>SUM(
IFERROR(SUMPRODUCT('Mão de Obra'!E156:XFD156,'Mão de Obra'!$E$29:$XFD$29,'Mão de Obra'!$E$185:$XFD$185),0),
IFERROR(SUMPRODUCT(Produtividade!E156:XFD156,Produtividade!$E$29:$XFD$29,Produtividade!$E$185:$XFD$185),0),
IFERROR(SUMPRODUCT(Veículos!E65:XFD65,Veículos!$E$4:$XFD$4),0)
)
+
(J32*(1+'Mão de Obra'!$D$155))*('Mão de Obra'!$D$156)</f>
        <v>0</v>
      </c>
      <c r="K37" s="26">
        <f>J37*$J$6</f>
        <v>0</v>
      </c>
      <c r="L37" s="840"/>
    </row>
    <row r="38" spans="2:12">
      <c r="B38" s="848" t="s">
        <v>338</v>
      </c>
      <c r="C38" s="257"/>
      <c r="F38" s="25"/>
      <c r="H38" s="30"/>
      <c r="I38" s="854"/>
      <c r="J38" s="649"/>
      <c r="K38" s="26"/>
      <c r="L38" s="840"/>
    </row>
    <row r="39" spans="2:12">
      <c r="B39" s="855" t="s">
        <v>45</v>
      </c>
      <c r="C39" s="257"/>
      <c r="F39" s="25"/>
      <c r="H39" s="30"/>
      <c r="I39" s="854"/>
      <c r="J39" s="649">
        <f>SUM(
IFERROR(SUMPRODUCT('Mão de Obra'!E160:XFD160,'Mão de Obra'!$E$29:$XFD$29,'Mão de Obra'!$E$185:$XFD$185),0),
IFERROR(SUMPRODUCT(Produtividade!E160:XFD160,Produtividade!$E$29:$XFD$29,Produtividade!$E$185:$XFD$185),0),
IFERROR(SUMPRODUCT(Veículos!E69:XFD69,Veículos!$E$4:$XFD$4),0)
)
+
IFERROR(J32*(1+'Mão de Obra'!$D$155)*(1+'Mão de Obra'!$D$156)*'Mão de Obra'!$D$160/(1-SUM('Mão de Obra'!$D$160:$D$165,(SUMPRODUCT('Mão de Obra'!$E$29:$XX$29,'Mão de Obra'!$E$163:$XX$163)/SUM('Mão de Obra'!$E$29:$XX$29)))),0)</f>
        <v>0</v>
      </c>
      <c r="K39" s="26">
        <f>J39*$J$6</f>
        <v>0</v>
      </c>
      <c r="L39" s="840"/>
    </row>
    <row r="40" spans="2:12">
      <c r="B40" s="855" t="s">
        <v>134</v>
      </c>
      <c r="C40" s="257"/>
      <c r="H40" s="856"/>
      <c r="I40" s="854"/>
      <c r="J40" s="649">
        <f>SUM(
IFERROR(SUMPRODUCT('Mão de Obra'!E161:XFD161,'Mão de Obra'!$E$29:$XFD$29,'Mão de Obra'!$E$185:$XFD$185),0),
IFERROR(SUMPRODUCT(Produtividade!E161:XFD161,Produtividade!$E$29:$XFD$29,Produtividade!$E$185:$XFD$185),0),
IFERROR(SUMPRODUCT(Veículos!E70:XFD70,Veículos!$E$4:$XFD$4),0)
)
+
IFERROR(J32*(1+'Mão de Obra'!$D$155)*(1+'Mão de Obra'!$D$156)*'Mão de Obra'!$D$161/(1-SUM('Mão de Obra'!$D$160:$D$165,(SUMPRODUCT('Mão de Obra'!$E$29:$XX$29,'Mão de Obra'!$E$163:$XX$163)/SUM('Mão de Obra'!$E$29:$XX$29)))),0)</f>
        <v>0</v>
      </c>
      <c r="K40" s="26">
        <f>J40*$J$6</f>
        <v>0</v>
      </c>
      <c r="L40" s="840"/>
    </row>
    <row r="41" spans="2:12">
      <c r="B41" s="855" t="s">
        <v>46</v>
      </c>
      <c r="C41" s="257"/>
      <c r="H41" s="856"/>
      <c r="I41" s="854"/>
      <c r="J41" s="649">
        <f>SUM(
IFERROR(SUMPRODUCT('Mão de Obra'!E164:XFD164,'Mão de Obra'!$E$29:$XFD$29,'Mão de Obra'!$E$185:$XFD$185),0),
IFERROR(SUMPRODUCT(Produtividade!E164:XFD164,Produtividade!$E$29:$XFD$29,Produtividade!$E$185:$XFD$185),0),
IFERROR(SUMPRODUCT(Veículos!E73:XFD73,Veículos!$E$4:$XFD$4),0)
)
+
IFERROR(J32*(1+'Mão de Obra'!$D$155)*(1+'Mão de Obra'!$D$156)*(SUMPRODUCT('Mão de Obra'!$E$29:$XX$29,'Mão de Obra'!$E$163:$XX$163)/SUM('Mão de Obra'!$E$29:$XX$29))/(1-SUM('Mão de Obra'!$D$160:$D$165,(SUMPRODUCT('Mão de Obra'!$E$29:$XX$29,'Mão de Obra'!$E$163:$XX$163)/SUM('Mão de Obra'!$E$29:$XX$29)))),0)</f>
        <v>0</v>
      </c>
      <c r="K41" s="26">
        <f>J41*$J$6</f>
        <v>0</v>
      </c>
      <c r="L41" s="840"/>
    </row>
    <row r="42" spans="2:12">
      <c r="B42" s="855" t="s">
        <v>390</v>
      </c>
      <c r="C42" s="257"/>
      <c r="H42" s="856"/>
      <c r="I42" s="854"/>
      <c r="J42" s="649">
        <f>SUM(
IFERROR(SUMPRODUCT('Mão de Obra'!E165:XFD165,'Mão de Obra'!$E$29:$XFD$29,'Mão de Obra'!$E$185:$XFD$185),0),
IFERROR(SUMPRODUCT(Produtividade!E165:XFD165,Produtividade!$E$29:$XFD$29,Produtividade!$E$185:$XFD$185),0),
IFERROR(SUMPRODUCT(Veículos!E74:XFD74,Veículos!$E$4:$XFD$4),0)
)
+
IFERROR(J32*(1+'Mão de Obra'!$D$155)*(1+'Mão de Obra'!$D$156)*'Mão de Obra'!$D$165/(1-SUM('Mão de Obra'!$D$160:$D$165,(SUMPRODUCT('Mão de Obra'!$E$29:$XX$29,'Mão de Obra'!$E$163:$XX$163)/SUM('Mão de Obra'!$E$29:$XX$29)))),0)</f>
        <v>0</v>
      </c>
      <c r="K42" s="26">
        <f>J42*$J$6</f>
        <v>0</v>
      </c>
      <c r="L42" s="840"/>
    </row>
    <row r="43" spans="2:12">
      <c r="B43" s="857" t="s">
        <v>336</v>
      </c>
      <c r="C43" s="858"/>
      <c r="D43" s="858"/>
      <c r="E43" s="858"/>
      <c r="F43" s="859"/>
      <c r="G43" s="48"/>
      <c r="H43" s="48"/>
      <c r="I43" s="370"/>
      <c r="J43" s="48">
        <f>SUM(J36:J42)</f>
        <v>0</v>
      </c>
      <c r="K43" s="49">
        <f>SUM(K36:K42)</f>
        <v>0</v>
      </c>
      <c r="L43" s="840"/>
    </row>
    <row r="44" spans="2:12">
      <c r="B44" s="860" t="s">
        <v>273</v>
      </c>
      <c r="C44" s="822"/>
      <c r="D44" s="822"/>
      <c r="E44" s="822"/>
      <c r="F44" s="842"/>
      <c r="G44" s="27"/>
      <c r="H44" s="27"/>
      <c r="I44" s="27"/>
      <c r="J44" s="27">
        <f>SUM(J34,J43)</f>
        <v>0</v>
      </c>
      <c r="K44" s="28">
        <f>SUM(K34,K43)</f>
        <v>0</v>
      </c>
      <c r="L44" s="840"/>
    </row>
    <row r="45" spans="2:12">
      <c r="B45" s="861"/>
      <c r="C45" s="3"/>
      <c r="D45" s="3"/>
      <c r="E45" s="3"/>
      <c r="F45" s="305"/>
      <c r="G45" s="305"/>
      <c r="H45" s="37"/>
      <c r="I45" s="37"/>
      <c r="J45" s="37"/>
      <c r="K45" s="37"/>
      <c r="L45" s="37"/>
    </row>
    <row r="46" spans="2:12">
      <c r="B46" s="31"/>
    </row>
    <row r="47" spans="2:12">
      <c r="B47" s="31"/>
      <c r="D47" s="945"/>
      <c r="E47" s="945"/>
      <c r="F47" s="945"/>
      <c r="G47" s="945"/>
      <c r="I47" s="633"/>
    </row>
    <row r="48" spans="2:12">
      <c r="B48" s="31"/>
      <c r="D48" s="31"/>
      <c r="E48" s="31"/>
      <c r="F48" s="31"/>
      <c r="G48" s="633"/>
      <c r="I48" s="633"/>
    </row>
    <row r="49" spans="2:9">
      <c r="B49" s="31"/>
      <c r="D49" s="31"/>
      <c r="E49" s="31"/>
      <c r="F49" s="31"/>
      <c r="G49" s="633"/>
      <c r="I49" s="633"/>
    </row>
    <row r="50" spans="2:9">
      <c r="B50" s="31"/>
      <c r="D50" s="930"/>
      <c r="E50" s="930"/>
      <c r="F50" s="930"/>
      <c r="G50" s="930"/>
      <c r="I50" s="633"/>
    </row>
    <row r="51" spans="2:9">
      <c r="B51" s="31"/>
      <c r="D51" s="945"/>
      <c r="E51" s="945"/>
      <c r="F51" s="945"/>
      <c r="G51" s="945"/>
      <c r="I51" s="633"/>
    </row>
    <row r="52" spans="2:9">
      <c r="B52" s="31"/>
      <c r="D52" s="31"/>
      <c r="E52" s="31"/>
      <c r="F52" s="31"/>
      <c r="G52" s="633"/>
      <c r="I52" s="633"/>
    </row>
    <row r="53" spans="2:9">
      <c r="B53" s="31"/>
      <c r="D53" s="958"/>
      <c r="E53" s="958"/>
      <c r="F53" s="958"/>
      <c r="G53" s="958"/>
      <c r="I53" s="633"/>
    </row>
    <row r="54" spans="2:9">
      <c r="B54" s="31"/>
      <c r="D54" s="930"/>
      <c r="E54" s="930"/>
      <c r="F54" s="930"/>
      <c r="G54" s="930"/>
      <c r="I54" s="633"/>
    </row>
    <row r="55" spans="2:9">
      <c r="B55" s="31"/>
      <c r="D55" s="930"/>
      <c r="E55" s="930"/>
      <c r="F55" s="930"/>
      <c r="G55" s="930"/>
      <c r="I55" s="633"/>
    </row>
    <row r="56" spans="2:9">
      <c r="B56" s="31"/>
      <c r="D56" s="930"/>
      <c r="E56" s="930"/>
      <c r="F56" s="930"/>
      <c r="G56" s="930"/>
      <c r="I56" s="633"/>
    </row>
    <row r="57" spans="2:9">
      <c r="B57" s="31"/>
      <c r="D57" s="930"/>
      <c r="E57" s="930"/>
      <c r="F57" s="930"/>
      <c r="G57" s="930"/>
      <c r="I57" s="633"/>
    </row>
    <row r="58" spans="2:9">
      <c r="B58" s="31"/>
      <c r="D58" s="930"/>
      <c r="E58" s="930"/>
      <c r="F58" s="930"/>
      <c r="G58" s="930"/>
      <c r="I58" s="633"/>
    </row>
    <row r="59" spans="2:9">
      <c r="B59" s="31"/>
      <c r="D59" s="930"/>
      <c r="E59" s="930"/>
      <c r="F59" s="930"/>
      <c r="G59" s="930"/>
      <c r="I59" s="633"/>
    </row>
    <row r="60" spans="2:9">
      <c r="B60" s="31"/>
      <c r="D60" s="930"/>
      <c r="E60" s="930"/>
      <c r="F60" s="930"/>
      <c r="G60" s="930"/>
      <c r="I60" s="633"/>
    </row>
    <row r="61" spans="2:9">
      <c r="B61" s="31"/>
      <c r="D61" s="930"/>
      <c r="E61" s="930"/>
      <c r="F61" s="930"/>
      <c r="G61" s="930"/>
      <c r="I61" s="633"/>
    </row>
    <row r="62" spans="2:9">
      <c r="B62" s="31"/>
      <c r="D62" s="930"/>
      <c r="E62" s="930"/>
      <c r="F62" s="930"/>
      <c r="G62" s="930"/>
      <c r="I62" s="633"/>
    </row>
    <row r="63" spans="2:9">
      <c r="B63" s="31"/>
      <c r="D63" s="31"/>
      <c r="E63" s="31"/>
      <c r="F63" s="633"/>
      <c r="G63" s="633"/>
    </row>
  </sheetData>
  <sheetProtection algorithmName="SHA-512" hashValue="YZX48eaPpfAi+2l/O8cunVUMyJh9YB9/dBaELvpZJvJHLPTE1IeMW6Bl92PsAkvWsSIZB//f6e0eLPvcdzloSg==" saltValue="r2rvBXUQjhLq9N9SSKa7kA==" spinCount="100000" sheet="1" objects="1" scenarios="1"/>
  <protectedRanges>
    <protectedRange sqref="D47:E47" name="Intervalo2"/>
  </protectedRanges>
  <mergeCells count="31">
    <mergeCell ref="D54:G62"/>
    <mergeCell ref="J6:K6"/>
    <mergeCell ref="J7:K7"/>
    <mergeCell ref="G7:I7"/>
    <mergeCell ref="G6:I6"/>
    <mergeCell ref="G9:H9"/>
    <mergeCell ref="I11:K11"/>
    <mergeCell ref="I12:K12"/>
    <mergeCell ref="C6:F6"/>
    <mergeCell ref="C7:F7"/>
    <mergeCell ref="C12:F12"/>
    <mergeCell ref="C13:F13"/>
    <mergeCell ref="D51:G51"/>
    <mergeCell ref="D53:G53"/>
    <mergeCell ref="J10:K10"/>
    <mergeCell ref="I13:K13"/>
    <mergeCell ref="D50:G50"/>
    <mergeCell ref="B2:K2"/>
    <mergeCell ref="B4:K4"/>
    <mergeCell ref="C9:F9"/>
    <mergeCell ref="C11:F11"/>
    <mergeCell ref="C10:F10"/>
    <mergeCell ref="J9:K9"/>
    <mergeCell ref="B3:K3"/>
    <mergeCell ref="G12:H12"/>
    <mergeCell ref="G13:H13"/>
    <mergeCell ref="G11:H11"/>
    <mergeCell ref="G10:H10"/>
    <mergeCell ref="D47:G47"/>
    <mergeCell ref="B8:K8"/>
    <mergeCell ref="B23:D23"/>
  </mergeCells>
  <conditionalFormatting sqref="C6:C7 J6:J7 B8 C9 J9:J10 C11:C13 I11:I13">
    <cfRule type="expression" dxfId="3" priority="70">
      <formula>#REF!</formula>
    </cfRule>
  </conditionalFormatting>
  <conditionalFormatting sqref="H25">
    <cfRule type="expression" dxfId="2" priority="14">
      <formula>#REF!="Área (m²)"</formula>
    </cfRule>
  </conditionalFormatting>
  <conditionalFormatting sqref="H26">
    <cfRule type="expression" dxfId="1" priority="11">
      <formula>#REF!="Área (m²)"</formula>
    </cfRule>
  </conditionalFormatting>
  <dataValidations count="1">
    <dataValidation type="list" allowBlank="1" sqref="J7" xr:uid="{00000000-0002-0000-0500-000000000000}">
      <formula1>"Valor Global,Mês,Dia,Hora"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1000000}">
          <x14:formula1>
            <xm:f>'Apoio - Dados'!$A:$A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4"/>
  <dimension ref="A1:I15"/>
  <sheetViews>
    <sheetView showGridLines="0" zoomScale="115" zoomScaleNormal="115" workbookViewId="0">
      <selection activeCell="A19" sqref="A19"/>
    </sheetView>
  </sheetViews>
  <sheetFormatPr defaultRowHeight="15"/>
  <cols>
    <col min="1" max="1" width="16.5703125" customWidth="1"/>
    <col min="2" max="4" width="15.28515625" customWidth="1"/>
    <col min="5" max="5" width="15.28515625" style="2" customWidth="1"/>
    <col min="6" max="6" width="13.5703125" style="40" bestFit="1" customWidth="1"/>
    <col min="7" max="7" width="9" style="2" bestFit="1" customWidth="1"/>
    <col min="8" max="9" width="15.28515625" style="2" customWidth="1"/>
  </cols>
  <sheetData>
    <row r="1" spans="1:9" s="4" customFormat="1" ht="30.75" customHeight="1">
      <c r="A1" s="162" t="s">
        <v>71</v>
      </c>
      <c r="B1" s="162" t="s">
        <v>353</v>
      </c>
      <c r="C1" s="162" t="s">
        <v>527</v>
      </c>
      <c r="D1" s="162" t="s">
        <v>70</v>
      </c>
      <c r="E1" s="162" t="s">
        <v>64</v>
      </c>
      <c r="F1" s="162" t="s">
        <v>65</v>
      </c>
      <c r="G1" s="162" t="s">
        <v>63</v>
      </c>
      <c r="H1" s="162" t="s">
        <v>536</v>
      </c>
      <c r="I1" s="162" t="s">
        <v>531</v>
      </c>
    </row>
    <row r="2" spans="1:9" s="4" customFormat="1" ht="15" customHeight="1">
      <c r="A2" s="162"/>
      <c r="B2" s="162"/>
      <c r="C2" s="162"/>
      <c r="D2" s="162"/>
      <c r="E2" s="162"/>
      <c r="F2" s="162"/>
      <c r="G2" s="162"/>
      <c r="H2" s="162"/>
      <c r="I2" s="162"/>
    </row>
    <row r="3" spans="1:9">
      <c r="A3" s="161" t="s">
        <v>47</v>
      </c>
      <c r="B3" s="290">
        <v>2</v>
      </c>
      <c r="C3" s="452" t="s">
        <v>528</v>
      </c>
      <c r="D3" s="290">
        <v>7</v>
      </c>
      <c r="E3" s="290" t="s">
        <v>481</v>
      </c>
      <c r="F3" s="290"/>
      <c r="G3" s="290">
        <v>15</v>
      </c>
      <c r="H3" s="290">
        <v>220</v>
      </c>
      <c r="I3" s="290">
        <f>G3*12</f>
        <v>180</v>
      </c>
    </row>
    <row r="4" spans="1:9">
      <c r="A4" s="161" t="s">
        <v>48</v>
      </c>
      <c r="B4" s="290">
        <v>2</v>
      </c>
      <c r="C4" s="452" t="s">
        <v>528</v>
      </c>
      <c r="D4" s="290">
        <v>7</v>
      </c>
      <c r="E4" s="290" t="s">
        <v>481</v>
      </c>
      <c r="F4" s="290"/>
      <c r="G4" s="290">
        <v>15</v>
      </c>
      <c r="H4" s="290">
        <v>220</v>
      </c>
      <c r="I4" s="290">
        <f>G4*12</f>
        <v>180</v>
      </c>
    </row>
    <row r="5" spans="1:9">
      <c r="A5" s="161" t="s">
        <v>578</v>
      </c>
      <c r="B5" s="290">
        <v>1</v>
      </c>
      <c r="C5" s="452" t="s">
        <v>528</v>
      </c>
      <c r="D5" s="290"/>
      <c r="E5" s="290">
        <v>1</v>
      </c>
      <c r="F5" s="290">
        <v>4</v>
      </c>
      <c r="G5" s="290">
        <v>4</v>
      </c>
      <c r="H5" s="290">
        <f>F5*30/6</f>
        <v>20</v>
      </c>
      <c r="I5" s="290">
        <f>F5*4</f>
        <v>16</v>
      </c>
    </row>
    <row r="6" spans="1:9">
      <c r="A6" s="161" t="s">
        <v>579</v>
      </c>
      <c r="B6" s="290">
        <v>1</v>
      </c>
      <c r="C6" s="452" t="s">
        <v>528</v>
      </c>
      <c r="D6" s="290"/>
      <c r="E6" s="290">
        <v>1</v>
      </c>
      <c r="F6" s="290">
        <v>6</v>
      </c>
      <c r="G6" s="290">
        <v>4</v>
      </c>
      <c r="H6" s="290">
        <f>F6*30/6</f>
        <v>30</v>
      </c>
      <c r="I6" s="290">
        <f>F6*4</f>
        <v>24</v>
      </c>
    </row>
    <row r="7" spans="1:9">
      <c r="A7" s="161" t="s">
        <v>580</v>
      </c>
      <c r="B7" s="290">
        <v>1</v>
      </c>
      <c r="C7" s="452" t="s">
        <v>528</v>
      </c>
      <c r="D7" s="290"/>
      <c r="E7" s="290">
        <v>1</v>
      </c>
      <c r="F7" s="290">
        <v>8</v>
      </c>
      <c r="G7" s="290">
        <v>4</v>
      </c>
      <c r="H7" s="290">
        <f>F7*30/6</f>
        <v>40</v>
      </c>
      <c r="I7" s="290">
        <f>F7*4</f>
        <v>32</v>
      </c>
    </row>
    <row r="8" spans="1:9">
      <c r="A8" s="161" t="s">
        <v>581</v>
      </c>
      <c r="B8" s="290">
        <v>1</v>
      </c>
      <c r="C8" s="452" t="s">
        <v>528</v>
      </c>
      <c r="D8" s="290">
        <v>10</v>
      </c>
      <c r="E8" s="290">
        <v>5</v>
      </c>
      <c r="F8" s="290">
        <v>20</v>
      </c>
      <c r="G8" s="290">
        <f>E8*4+2</f>
        <v>22</v>
      </c>
      <c r="H8" s="290">
        <f>F8*30/6</f>
        <v>100</v>
      </c>
      <c r="I8" s="290">
        <f>F8*4+2*4</f>
        <v>88</v>
      </c>
    </row>
    <row r="9" spans="1:9">
      <c r="A9" s="161" t="s">
        <v>582</v>
      </c>
      <c r="B9" s="290">
        <v>1</v>
      </c>
      <c r="C9" s="452" t="s">
        <v>528</v>
      </c>
      <c r="D9" s="290">
        <v>10</v>
      </c>
      <c r="E9" s="290">
        <v>5</v>
      </c>
      <c r="F9" s="290">
        <v>30</v>
      </c>
      <c r="G9" s="290">
        <f t="shared" ref="G9:G10" si="0">E9*4+2</f>
        <v>22</v>
      </c>
      <c r="H9" s="290">
        <f>F9*30/6</f>
        <v>150</v>
      </c>
      <c r="I9" s="290">
        <f>F9*4+2*6</f>
        <v>132</v>
      </c>
    </row>
    <row r="10" spans="1:9">
      <c r="A10" s="161" t="s">
        <v>583</v>
      </c>
      <c r="B10" s="290">
        <v>1</v>
      </c>
      <c r="C10" s="452" t="s">
        <v>528</v>
      </c>
      <c r="D10" s="290"/>
      <c r="E10" s="290">
        <v>5</v>
      </c>
      <c r="F10" s="290">
        <v>35</v>
      </c>
      <c r="G10" s="290">
        <f t="shared" si="0"/>
        <v>22</v>
      </c>
      <c r="H10" s="290">
        <v>175</v>
      </c>
      <c r="I10" s="290">
        <f>F10*4+2*7</f>
        <v>154</v>
      </c>
    </row>
    <row r="11" spans="1:9">
      <c r="A11" s="161" t="s">
        <v>584</v>
      </c>
      <c r="B11" s="290">
        <v>1</v>
      </c>
      <c r="C11" s="452" t="s">
        <v>528</v>
      </c>
      <c r="D11" s="290">
        <v>10</v>
      </c>
      <c r="E11" s="290">
        <v>6</v>
      </c>
      <c r="F11" s="290">
        <v>36</v>
      </c>
      <c r="G11" s="290">
        <f>E11*4+2</f>
        <v>26</v>
      </c>
      <c r="H11" s="290">
        <f>F11*30/6</f>
        <v>180</v>
      </c>
      <c r="I11" s="290">
        <f>F11*4+2*6</f>
        <v>156</v>
      </c>
    </row>
    <row r="12" spans="1:9">
      <c r="A12" s="161" t="s">
        <v>585</v>
      </c>
      <c r="B12" s="290">
        <v>1</v>
      </c>
      <c r="C12" s="452" t="s">
        <v>528</v>
      </c>
      <c r="D12" s="290">
        <v>10</v>
      </c>
      <c r="E12" s="290">
        <v>5</v>
      </c>
      <c r="F12" s="290">
        <v>40</v>
      </c>
      <c r="G12" s="290">
        <f>E12*4+2</f>
        <v>22</v>
      </c>
      <c r="H12" s="290">
        <f>F12*30/6</f>
        <v>200</v>
      </c>
      <c r="I12" s="290">
        <f>F12*4+2*8</f>
        <v>176</v>
      </c>
    </row>
    <row r="13" spans="1:9">
      <c r="A13" s="161" t="s">
        <v>586</v>
      </c>
      <c r="B13" s="290">
        <v>1</v>
      </c>
      <c r="C13" s="452" t="s">
        <v>528</v>
      </c>
      <c r="D13" s="290">
        <v>10</v>
      </c>
      <c r="E13" s="290">
        <v>5</v>
      </c>
      <c r="F13" s="290">
        <v>44</v>
      </c>
      <c r="G13" s="290">
        <f>E13*4+2</f>
        <v>22</v>
      </c>
      <c r="H13" s="290">
        <f>F13*30/6</f>
        <v>220</v>
      </c>
      <c r="I13" s="290">
        <f>F13*4+2*8</f>
        <v>192</v>
      </c>
    </row>
    <row r="14" spans="1:9">
      <c r="A14" s="161" t="s">
        <v>587</v>
      </c>
      <c r="B14" s="290">
        <v>1</v>
      </c>
      <c r="C14" s="452" t="s">
        <v>528</v>
      </c>
      <c r="D14" s="290">
        <v>10</v>
      </c>
      <c r="E14" s="290">
        <v>6</v>
      </c>
      <c r="F14" s="290">
        <v>44</v>
      </c>
      <c r="G14" s="290">
        <f>E14*4+2</f>
        <v>26</v>
      </c>
      <c r="H14" s="290">
        <f>F14*30/6</f>
        <v>220</v>
      </c>
      <c r="I14" s="290">
        <f>F14*4+2*8</f>
        <v>192</v>
      </c>
    </row>
    <row r="15" spans="1:9">
      <c r="I15"/>
    </row>
  </sheetData>
  <sheetProtection algorithmName="SHA-512" hashValue="TZlC0WySatJAM10pOTKHXlHizO0cpG0mL2HfNZjl/4Xj1ipMqaeWKmpZK96KEucmvlKKBFn1qlhLngOjufDwiQ==" saltValue="FQhFMdeTRAEXHcMxJqM0sQ==" spinCount="100000" sheet="1" objects="1" scenarios="1"/>
  <dataValidations disablePrompts="1" count="1">
    <dataValidation type="list" allowBlank="1" showInputMessage="1" showErrorMessage="1" sqref="C1:C1048576" xr:uid="{00000000-0002-0000-0600-000000000000}">
      <formula1>"Mensal,Diária"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5"/>
  <dimension ref="A2:R177"/>
  <sheetViews>
    <sheetView showGridLines="0" topLeftCell="A9" zoomScale="80" zoomScaleNormal="80" workbookViewId="0">
      <selection activeCell="E22" sqref="E22"/>
    </sheetView>
  </sheetViews>
  <sheetFormatPr defaultColWidth="9.140625" defaultRowHeight="15" customHeight="1"/>
  <cols>
    <col min="1" max="1" width="3.42578125" style="291" customWidth="1"/>
    <col min="2" max="2" width="5" style="530" customWidth="1"/>
    <col min="3" max="3" width="45.5703125" style="292" customWidth="1"/>
    <col min="4" max="4" width="49.140625" style="530" customWidth="1"/>
    <col min="5" max="6" width="52.28515625" style="530" customWidth="1"/>
    <col min="7" max="7" width="2.42578125" style="482" customWidth="1"/>
    <col min="8" max="17" width="17.7109375" style="483" customWidth="1"/>
    <col min="18" max="18" width="24.28515625" style="291" customWidth="1"/>
    <col min="19" max="16384" width="9.140625" style="291"/>
  </cols>
  <sheetData>
    <row r="2" spans="1:18" ht="15" customHeight="1">
      <c r="A2" s="476"/>
      <c r="B2" s="477"/>
      <c r="C2" s="478" t="s">
        <v>229</v>
      </c>
      <c r="D2" s="479"/>
      <c r="E2" s="480"/>
      <c r="F2" s="481"/>
    </row>
    <row r="3" spans="1:18" ht="15" customHeight="1">
      <c r="A3" s="476"/>
      <c r="B3" s="484" t="s">
        <v>2</v>
      </c>
      <c r="C3" s="485" t="s">
        <v>241</v>
      </c>
      <c r="D3" s="486">
        <v>7</v>
      </c>
      <c r="E3" s="487"/>
      <c r="F3" s="488"/>
    </row>
    <row r="4" spans="1:18" ht="15" customHeight="1">
      <c r="B4" s="484" t="s">
        <v>1</v>
      </c>
      <c r="C4" s="485" t="s">
        <v>242</v>
      </c>
      <c r="D4" s="486">
        <v>365</v>
      </c>
      <c r="E4" s="489"/>
      <c r="F4" s="488"/>
    </row>
    <row r="5" spans="1:18" ht="15" customHeight="1">
      <c r="B5" s="484" t="s">
        <v>0</v>
      </c>
      <c r="C5" s="485" t="s">
        <v>243</v>
      </c>
      <c r="D5" s="486">
        <v>30</v>
      </c>
      <c r="E5" s="490"/>
      <c r="F5" s="488"/>
    </row>
    <row r="6" spans="1:18" ht="15" customHeight="1">
      <c r="B6" s="484" t="s">
        <v>3</v>
      </c>
      <c r="C6" s="485" t="s">
        <v>498</v>
      </c>
      <c r="D6" s="491">
        <f>D7/D8</f>
        <v>4.333333333333333</v>
      </c>
      <c r="E6" s="492"/>
      <c r="F6" s="488" t="str">
        <f>""</f>
        <v/>
      </c>
    </row>
    <row r="7" spans="1:18" ht="15" customHeight="1">
      <c r="B7" s="484" t="s">
        <v>7</v>
      </c>
      <c r="C7" s="291" t="s">
        <v>499</v>
      </c>
      <c r="D7" s="486">
        <v>52</v>
      </c>
      <c r="E7" s="493"/>
      <c r="F7" s="494"/>
      <c r="H7" s="495"/>
    </row>
    <row r="8" spans="1:18" ht="15" customHeight="1">
      <c r="B8" s="484" t="s">
        <v>6</v>
      </c>
      <c r="C8" s="485" t="s">
        <v>244</v>
      </c>
      <c r="D8" s="486">
        <v>12</v>
      </c>
      <c r="E8" s="489"/>
      <c r="F8" s="496"/>
    </row>
    <row r="9" spans="1:18" ht="15" customHeight="1">
      <c r="B9" s="484" t="s">
        <v>5</v>
      </c>
      <c r="C9" s="485" t="s">
        <v>245</v>
      </c>
      <c r="D9" s="486">
        <v>60</v>
      </c>
      <c r="E9" s="489"/>
      <c r="F9" s="497"/>
    </row>
    <row r="10" spans="1:18" ht="15" customHeight="1">
      <c r="B10" s="484" t="s">
        <v>4</v>
      </c>
      <c r="C10" s="485" t="s">
        <v>246</v>
      </c>
      <c r="D10" s="486">
        <v>52.5</v>
      </c>
      <c r="E10" s="497"/>
      <c r="F10" s="497"/>
    </row>
    <row r="11" spans="1:18" ht="15" customHeight="1">
      <c r="B11" s="498"/>
      <c r="C11" s="499"/>
      <c r="D11" s="500"/>
      <c r="E11" s="500"/>
      <c r="F11" s="500"/>
      <c r="H11" s="501"/>
      <c r="I11" s="501"/>
      <c r="J11" s="501"/>
      <c r="K11" s="501"/>
      <c r="L11" s="501"/>
      <c r="M11" s="501"/>
      <c r="N11" s="501"/>
      <c r="O11" s="501"/>
      <c r="P11" s="501"/>
      <c r="Q11" s="501"/>
    </row>
    <row r="12" spans="1:18" s="505" customFormat="1" ht="15" customHeight="1">
      <c r="A12" s="502"/>
      <c r="B12" s="970"/>
      <c r="C12" s="967"/>
      <c r="D12" s="962" t="s">
        <v>403</v>
      </c>
      <c r="E12" s="962" t="s">
        <v>170</v>
      </c>
      <c r="F12" s="962" t="s">
        <v>400</v>
      </c>
      <c r="G12" s="482"/>
      <c r="H12" s="961" t="s">
        <v>158</v>
      </c>
      <c r="I12" s="961"/>
      <c r="J12" s="961"/>
      <c r="K12" s="961"/>
      <c r="L12" s="961"/>
      <c r="M12" s="961"/>
      <c r="N12" s="961"/>
      <c r="O12" s="961"/>
      <c r="P12" s="961"/>
      <c r="Q12" s="961"/>
      <c r="R12" s="504"/>
    </row>
    <row r="13" spans="1:18" ht="15" customHeight="1">
      <c r="A13" s="476"/>
      <c r="B13" s="971"/>
      <c r="C13" s="968"/>
      <c r="D13" s="963"/>
      <c r="E13" s="963"/>
      <c r="F13" s="963"/>
      <c r="H13" s="961" t="s">
        <v>61</v>
      </c>
      <c r="I13" s="961" t="s">
        <v>60</v>
      </c>
      <c r="J13" s="961" t="s">
        <v>521</v>
      </c>
      <c r="K13" s="503" t="s">
        <v>401</v>
      </c>
      <c r="L13" s="503" t="s">
        <v>401</v>
      </c>
      <c r="M13" s="503" t="s">
        <v>401</v>
      </c>
      <c r="N13" s="503" t="s">
        <v>401</v>
      </c>
      <c r="O13" s="503" t="s">
        <v>401</v>
      </c>
      <c r="P13" s="503" t="s">
        <v>401</v>
      </c>
      <c r="Q13" s="961" t="s">
        <v>50</v>
      </c>
      <c r="R13" s="506"/>
    </row>
    <row r="14" spans="1:18" ht="15" customHeight="1">
      <c r="A14" s="476"/>
      <c r="B14" s="972"/>
      <c r="C14" s="969"/>
      <c r="D14" s="964"/>
      <c r="E14" s="964"/>
      <c r="F14" s="964"/>
      <c r="H14" s="961"/>
      <c r="I14" s="961"/>
      <c r="J14" s="961"/>
      <c r="K14" s="503" t="s">
        <v>159</v>
      </c>
      <c r="L14" s="503" t="s">
        <v>164</v>
      </c>
      <c r="M14" s="503" t="s">
        <v>163</v>
      </c>
      <c r="N14" s="503" t="s">
        <v>162</v>
      </c>
      <c r="O14" s="503" t="s">
        <v>161</v>
      </c>
      <c r="P14" s="503" t="s">
        <v>160</v>
      </c>
      <c r="Q14" s="961"/>
      <c r="R14" s="506"/>
    </row>
    <row r="15" spans="1:18" ht="15" customHeight="1">
      <c r="A15" s="476"/>
      <c r="B15" s="507"/>
      <c r="C15" s="508" t="s">
        <v>247</v>
      </c>
      <c r="D15" s="509"/>
      <c r="E15" s="509"/>
      <c r="F15" s="509"/>
      <c r="H15" s="510"/>
      <c r="I15" s="511"/>
      <c r="J15" s="511"/>
      <c r="K15" s="512">
        <v>180000</v>
      </c>
      <c r="L15" s="512">
        <v>360000</v>
      </c>
      <c r="M15" s="512">
        <v>720000</v>
      </c>
      <c r="N15" s="512">
        <v>1800000</v>
      </c>
      <c r="O15" s="512">
        <v>3600000</v>
      </c>
      <c r="P15" s="512">
        <v>4800000</v>
      </c>
      <c r="Q15" s="513" t="str">
        <f>IF(IFERROR(SUM(Produtividade!L195:L220)&gt;0,FALSE()),Produtividade!D13,
IF(IFERROR(Veículos!$E$3&lt;&gt;"",FALSE()),'Mão de Obra'!D13,'Mão de Obra'!D13))</f>
        <v>Lucro Real</v>
      </c>
      <c r="R15" s="506"/>
    </row>
    <row r="16" spans="1:18" ht="15" customHeight="1">
      <c r="A16" s="476"/>
      <c r="B16" s="507"/>
      <c r="C16" s="508" t="s">
        <v>133</v>
      </c>
      <c r="D16" s="509"/>
      <c r="E16" s="509"/>
      <c r="F16" s="509"/>
      <c r="H16" s="510"/>
      <c r="I16" s="511"/>
      <c r="J16" s="511"/>
      <c r="K16" s="512">
        <v>0</v>
      </c>
      <c r="L16" s="512">
        <v>9360</v>
      </c>
      <c r="M16" s="512">
        <v>17640</v>
      </c>
      <c r="N16" s="512">
        <v>35640</v>
      </c>
      <c r="O16" s="512">
        <v>125640</v>
      </c>
      <c r="P16" s="512">
        <v>648000</v>
      </c>
      <c r="Q16" s="512" t="str">
        <f>IF(Q15="Simples",
IF(IFERROR(SUM(Produtividade!L195:L220)&gt;0,FALSE()),Produtividade!D14,
IF(IFERROR(Veículos!$E$3&lt;&gt;"",FALSE()),'Mão de Obra'!D14,'Mão de Obra'!D14)),"")</f>
        <v/>
      </c>
      <c r="R16" s="506"/>
    </row>
    <row r="17" spans="1:18" ht="15" customHeight="1">
      <c r="A17" s="476"/>
      <c r="B17" s="507"/>
      <c r="C17" s="508" t="s">
        <v>248</v>
      </c>
      <c r="D17" s="509"/>
      <c r="E17" s="509"/>
      <c r="F17" s="509"/>
      <c r="H17" s="510"/>
      <c r="I17" s="511"/>
      <c r="J17" s="511"/>
      <c r="K17" s="514">
        <v>0.06</v>
      </c>
      <c r="L17" s="515">
        <v>0.112</v>
      </c>
      <c r="M17" s="515">
        <v>0.13500000000000001</v>
      </c>
      <c r="N17" s="514">
        <v>0.16</v>
      </c>
      <c r="O17" s="514">
        <v>0.21</v>
      </c>
      <c r="P17" s="514">
        <v>0.33</v>
      </c>
      <c r="Q17" s="513"/>
      <c r="R17" s="506"/>
    </row>
    <row r="18" spans="1:18" s="482" customFormat="1" ht="15" customHeight="1">
      <c r="B18" s="516"/>
      <c r="C18"/>
    </row>
    <row r="19" spans="1:18" s="3" customFormat="1" ht="15" customHeight="1">
      <c r="B19" s="477"/>
      <c r="C19" s="517" t="s">
        <v>228</v>
      </c>
      <c r="D19" s="517"/>
      <c r="E19" s="517"/>
      <c r="F19" s="479"/>
      <c r="H19" s="477"/>
      <c r="I19" s="518"/>
      <c r="J19" s="518"/>
      <c r="K19" s="518"/>
      <c r="L19" s="518"/>
      <c r="M19" s="518"/>
      <c r="N19" s="518"/>
      <c r="O19" s="518"/>
      <c r="P19" s="518"/>
      <c r="Q19" s="519"/>
    </row>
    <row r="20" spans="1:18" s="482" customFormat="1" ht="15" customHeight="1">
      <c r="B20" s="520" t="s">
        <v>2</v>
      </c>
      <c r="C20" s="521" t="s">
        <v>171</v>
      </c>
      <c r="D20" s="522"/>
      <c r="E20" s="523" t="s">
        <v>95</v>
      </c>
      <c r="F20" s="523" t="s">
        <v>371</v>
      </c>
      <c r="H20" s="524"/>
      <c r="I20" s="524"/>
      <c r="J20" s="524"/>
      <c r="K20" s="524"/>
      <c r="L20" s="524"/>
      <c r="M20" s="524"/>
      <c r="N20" s="524"/>
      <c r="O20" s="524"/>
      <c r="P20" s="524"/>
      <c r="Q20" s="524"/>
    </row>
    <row r="21" spans="1:18" s="482" customFormat="1" ht="15" customHeight="1">
      <c r="B21" s="520" t="s">
        <v>1</v>
      </c>
      <c r="C21" s="525" t="s">
        <v>172</v>
      </c>
      <c r="D21" s="526" t="s">
        <v>96</v>
      </c>
      <c r="E21" s="526" t="s">
        <v>97</v>
      </c>
      <c r="F21" s="527" t="s">
        <v>173</v>
      </c>
      <c r="H21" s="524"/>
      <c r="I21" s="524"/>
      <c r="J21" s="524"/>
      <c r="K21" s="524"/>
      <c r="L21" s="524"/>
      <c r="M21" s="524"/>
      <c r="N21" s="524"/>
      <c r="O21" s="524"/>
      <c r="P21" s="524"/>
      <c r="Q21" s="524"/>
    </row>
    <row r="22" spans="1:18" s="482" customFormat="1" ht="15" customHeight="1">
      <c r="B22" s="520" t="s">
        <v>0</v>
      </c>
      <c r="C22" s="521" t="s">
        <v>174</v>
      </c>
      <c r="D22" s="522" t="s">
        <v>175</v>
      </c>
      <c r="E22" s="523" t="s">
        <v>98</v>
      </c>
      <c r="F22" s="523" t="s">
        <v>176</v>
      </c>
      <c r="H22" s="524"/>
      <c r="I22" s="524"/>
      <c r="J22" s="524"/>
      <c r="K22" s="524"/>
      <c r="L22" s="524"/>
      <c r="M22" s="524"/>
      <c r="N22" s="524"/>
      <c r="O22" s="524"/>
      <c r="P22" s="524"/>
      <c r="Q22" s="524"/>
    </row>
    <row r="23" spans="1:18" s="482" customFormat="1" ht="15" customHeight="1">
      <c r="B23" s="520" t="s">
        <v>3</v>
      </c>
      <c r="C23" s="525" t="s">
        <v>83</v>
      </c>
      <c r="D23" s="526" t="s">
        <v>177</v>
      </c>
      <c r="E23" s="526" t="s">
        <v>178</v>
      </c>
      <c r="F23" s="527"/>
      <c r="H23" s="524"/>
      <c r="I23" s="524"/>
      <c r="J23" s="524"/>
      <c r="K23" s="524"/>
      <c r="L23" s="524"/>
      <c r="M23" s="524"/>
      <c r="N23" s="524"/>
      <c r="O23" s="524"/>
      <c r="P23" s="524"/>
      <c r="Q23" s="524"/>
    </row>
    <row r="24" spans="1:18" s="482" customFormat="1" ht="15" customHeight="1">
      <c r="B24" s="520" t="s">
        <v>7</v>
      </c>
      <c r="C24" s="521" t="s">
        <v>99</v>
      </c>
      <c r="D24" s="522" t="s">
        <v>179</v>
      </c>
      <c r="E24" s="523" t="s">
        <v>100</v>
      </c>
      <c r="F24" s="523" t="s">
        <v>219</v>
      </c>
      <c r="H24" s="524"/>
      <c r="I24" s="524"/>
      <c r="J24" s="524"/>
      <c r="K24" s="524"/>
      <c r="L24" s="524"/>
      <c r="M24" s="524"/>
      <c r="N24" s="524"/>
      <c r="O24" s="524"/>
      <c r="P24" s="524"/>
      <c r="Q24" s="524"/>
    </row>
    <row r="25" spans="1:18" s="482" customFormat="1" ht="15" customHeight="1">
      <c r="B25" s="520" t="s">
        <v>6</v>
      </c>
      <c r="C25" s="525" t="s">
        <v>167</v>
      </c>
      <c r="D25" s="526" t="s">
        <v>180</v>
      </c>
      <c r="E25" s="526"/>
      <c r="F25" s="527"/>
      <c r="H25" s="524"/>
      <c r="I25" s="524"/>
      <c r="J25" s="524"/>
      <c r="K25" s="524"/>
      <c r="L25" s="524"/>
      <c r="M25" s="524"/>
      <c r="N25" s="524"/>
      <c r="O25" s="524"/>
      <c r="P25" s="524"/>
      <c r="Q25" s="524"/>
    </row>
    <row r="26" spans="1:18" s="482" customFormat="1" ht="15" customHeight="1">
      <c r="B26" s="520" t="s">
        <v>5</v>
      </c>
      <c r="C26" s="521" t="s">
        <v>181</v>
      </c>
      <c r="D26" s="522" t="s">
        <v>182</v>
      </c>
      <c r="E26" s="523" t="s">
        <v>101</v>
      </c>
      <c r="F26" s="523"/>
      <c r="H26" s="524"/>
      <c r="I26" s="524"/>
      <c r="J26" s="524"/>
      <c r="K26" s="524"/>
      <c r="L26" s="524"/>
      <c r="M26" s="524"/>
      <c r="N26" s="524"/>
      <c r="O26" s="524"/>
      <c r="P26" s="524"/>
      <c r="Q26" s="524"/>
    </row>
    <row r="27" spans="1:18" s="482" customFormat="1" ht="15" customHeight="1">
      <c r="B27" s="520" t="s">
        <v>4</v>
      </c>
      <c r="C27" s="525" t="s">
        <v>84</v>
      </c>
      <c r="D27" s="526" t="s">
        <v>183</v>
      </c>
      <c r="E27" s="526" t="s">
        <v>184</v>
      </c>
      <c r="F27" s="527" t="s">
        <v>217</v>
      </c>
      <c r="H27" s="524"/>
      <c r="I27" s="524"/>
      <c r="J27" s="524"/>
      <c r="K27" s="524"/>
      <c r="L27" s="524"/>
      <c r="M27" s="524"/>
      <c r="N27" s="524"/>
      <c r="O27" s="524"/>
      <c r="P27" s="524"/>
      <c r="Q27" s="524"/>
    </row>
    <row r="28" spans="1:18" s="482" customFormat="1" ht="15" customHeight="1">
      <c r="B28" s="520" t="s">
        <v>141</v>
      </c>
      <c r="C28" s="523" t="s">
        <v>185</v>
      </c>
      <c r="D28" s="522" t="s">
        <v>186</v>
      </c>
      <c r="E28" s="523" t="s">
        <v>187</v>
      </c>
      <c r="F28" s="523" t="s">
        <v>218</v>
      </c>
      <c r="H28" s="524"/>
      <c r="I28" s="524"/>
      <c r="J28" s="524"/>
      <c r="K28" s="524"/>
      <c r="L28" s="524"/>
      <c r="M28" s="524"/>
      <c r="N28" s="524"/>
      <c r="O28" s="524"/>
      <c r="P28" s="524"/>
      <c r="Q28" s="524"/>
    </row>
    <row r="29" spans="1:18" s="482" customFormat="1" ht="15" customHeight="1">
      <c r="B29" s="520" t="s">
        <v>168</v>
      </c>
      <c r="C29" s="525" t="s">
        <v>222</v>
      </c>
      <c r="D29" s="526"/>
      <c r="E29" s="526"/>
      <c r="F29" s="527"/>
      <c r="H29" s="524"/>
      <c r="I29" s="524"/>
      <c r="J29" s="524"/>
      <c r="K29" s="524"/>
      <c r="L29" s="524"/>
      <c r="M29" s="524"/>
      <c r="N29" s="524"/>
      <c r="O29" s="524"/>
      <c r="P29" s="524"/>
      <c r="Q29" s="524"/>
    </row>
    <row r="30" spans="1:18" s="482" customFormat="1" ht="15" customHeight="1">
      <c r="B30" s="516"/>
      <c r="C30"/>
      <c r="H30" s="528"/>
      <c r="I30" s="528"/>
      <c r="J30" s="528"/>
      <c r="K30" s="528"/>
      <c r="L30" s="528"/>
      <c r="M30" s="528"/>
      <c r="N30" s="528"/>
      <c r="O30" s="528"/>
      <c r="P30" s="528"/>
      <c r="Q30" s="528"/>
    </row>
    <row r="31" spans="1:18" s="482" customFormat="1" ht="15" customHeight="1">
      <c r="B31" s="477"/>
      <c r="C31" s="529" t="s">
        <v>152</v>
      </c>
      <c r="D31" s="517"/>
      <c r="E31" s="517"/>
      <c r="F31" s="479"/>
      <c r="H31" s="477"/>
      <c r="I31" s="518"/>
      <c r="J31" s="518"/>
      <c r="K31" s="518"/>
      <c r="L31" s="518"/>
      <c r="M31" s="518"/>
      <c r="N31" s="518"/>
      <c r="O31" s="518"/>
      <c r="P31" s="518"/>
      <c r="Q31" s="519"/>
    </row>
    <row r="32" spans="1:18" ht="3.75" customHeight="1">
      <c r="C32" s="531"/>
      <c r="H32" s="532"/>
      <c r="I32" s="533"/>
      <c r="J32" s="533"/>
      <c r="K32" s="534"/>
      <c r="L32" s="535"/>
      <c r="M32" s="535"/>
      <c r="N32" s="534"/>
      <c r="O32" s="534"/>
      <c r="P32" s="534"/>
      <c r="Q32" s="536"/>
    </row>
    <row r="33" spans="1:18" s="544" customFormat="1" ht="15" customHeight="1">
      <c r="A33" s="537"/>
      <c r="B33" s="538"/>
      <c r="C33" s="539" t="s">
        <v>153</v>
      </c>
      <c r="D33" s="539"/>
      <c r="E33" s="539"/>
      <c r="F33" s="540"/>
      <c r="G33" s="3"/>
      <c r="H33" s="538"/>
      <c r="I33" s="541"/>
      <c r="J33" s="541"/>
      <c r="K33" s="541"/>
      <c r="L33" s="541"/>
      <c r="M33" s="541"/>
      <c r="N33" s="541"/>
      <c r="O33" s="541"/>
      <c r="P33" s="541"/>
      <c r="Q33" s="542"/>
      <c r="R33" s="543"/>
    </row>
    <row r="34" spans="1:18" ht="15" customHeight="1">
      <c r="A34" s="476"/>
      <c r="B34" s="545" t="s">
        <v>2</v>
      </c>
      <c r="C34" s="546" t="s">
        <v>58</v>
      </c>
      <c r="D34" s="522" t="s">
        <v>207</v>
      </c>
      <c r="E34" s="523" t="s">
        <v>102</v>
      </c>
      <c r="F34" s="523" t="s">
        <v>188</v>
      </c>
      <c r="H34" s="547">
        <f>(1/12)</f>
        <v>8.3333333333333329E-2</v>
      </c>
      <c r="I34" s="547">
        <f t="shared" ref="I34:P34" si="0">(1/12)</f>
        <v>8.3333333333333329E-2</v>
      </c>
      <c r="J34" s="547">
        <f t="shared" si="0"/>
        <v>8.3333333333333329E-2</v>
      </c>
      <c r="K34" s="547">
        <f t="shared" si="0"/>
        <v>8.3333333333333329E-2</v>
      </c>
      <c r="L34" s="547">
        <f t="shared" si="0"/>
        <v>8.3333333333333329E-2</v>
      </c>
      <c r="M34" s="547">
        <f t="shared" si="0"/>
        <v>8.3333333333333329E-2</v>
      </c>
      <c r="N34" s="547">
        <f t="shared" si="0"/>
        <v>8.3333333333333329E-2</v>
      </c>
      <c r="O34" s="547">
        <f t="shared" si="0"/>
        <v>8.3333333333333329E-2</v>
      </c>
      <c r="P34" s="547">
        <f t="shared" si="0"/>
        <v>8.3333333333333329E-2</v>
      </c>
      <c r="Q34" s="547">
        <f>IFERROR(ROUND(IF($Q$15="Simples",
INDEX(H34:P34,MATCH($Q$16,$H$16:$P$16,1)),
INDEX(H34:P34,MATCH($Q$15,$H$13:$P$13,0))
),4),"")</f>
        <v>8.3299999999999999E-2</v>
      </c>
      <c r="R34" s="506"/>
    </row>
    <row r="35" spans="1:18" ht="15" customHeight="1">
      <c r="A35" s="476"/>
      <c r="B35" s="545" t="s">
        <v>1</v>
      </c>
      <c r="C35" s="546" t="s">
        <v>21</v>
      </c>
      <c r="D35" s="522" t="s">
        <v>208</v>
      </c>
      <c r="E35" s="523" t="s">
        <v>103</v>
      </c>
      <c r="F35" s="523" t="s">
        <v>189</v>
      </c>
      <c r="H35" s="547">
        <f xml:space="preserve"> (1/12) +( 1/3)/12</f>
        <v>0.1111111111111111</v>
      </c>
      <c r="I35" s="547">
        <f t="shared" ref="I35:P35" si="1" xml:space="preserve"> (1/12) +( 1/3)/12</f>
        <v>0.1111111111111111</v>
      </c>
      <c r="J35" s="547">
        <f t="shared" si="1"/>
        <v>0.1111111111111111</v>
      </c>
      <c r="K35" s="547">
        <f t="shared" si="1"/>
        <v>0.1111111111111111</v>
      </c>
      <c r="L35" s="547">
        <f t="shared" si="1"/>
        <v>0.1111111111111111</v>
      </c>
      <c r="M35" s="547">
        <f t="shared" si="1"/>
        <v>0.1111111111111111</v>
      </c>
      <c r="N35" s="547">
        <f t="shared" si="1"/>
        <v>0.1111111111111111</v>
      </c>
      <c r="O35" s="547">
        <f t="shared" si="1"/>
        <v>0.1111111111111111</v>
      </c>
      <c r="P35" s="547">
        <f t="shared" si="1"/>
        <v>0.1111111111111111</v>
      </c>
      <c r="Q35" s="547">
        <f t="shared" ref="Q35:Q36" si="2">IFERROR(ROUND(IF($Q$15="Simples",
INDEX(H35:P35,MATCH($Q$16,$H$16:$P$16,1)),
INDEX(H35:P35,MATCH($Q$15,$H$13:$P$13,0))
),4),"")</f>
        <v>0.1111</v>
      </c>
      <c r="R35" s="506"/>
    </row>
    <row r="36" spans="1:18" ht="15" customHeight="1">
      <c r="A36" s="476"/>
      <c r="B36" s="545" t="s">
        <v>0</v>
      </c>
      <c r="C36" s="546" t="s">
        <v>82</v>
      </c>
      <c r="D36" s="522" t="s">
        <v>209</v>
      </c>
      <c r="E36" s="523"/>
      <c r="F36" s="523"/>
      <c r="H36" s="547">
        <f t="shared" ref="H36:P36" si="3">(H34+H35)*H49</f>
        <v>7.1555555555555567E-2</v>
      </c>
      <c r="I36" s="547">
        <f t="shared" si="3"/>
        <v>7.1555555555555567E-2</v>
      </c>
      <c r="J36" s="547">
        <f>(J34+J35)*J49</f>
        <v>6.0277777777777777E-2</v>
      </c>
      <c r="K36" s="547">
        <f t="shared" si="3"/>
        <v>6.0277777777777777E-2</v>
      </c>
      <c r="L36" s="547">
        <f t="shared" si="3"/>
        <v>6.0277777777777777E-2</v>
      </c>
      <c r="M36" s="547">
        <f t="shared" si="3"/>
        <v>6.0277777777777777E-2</v>
      </c>
      <c r="N36" s="547">
        <f t="shared" si="3"/>
        <v>6.0277777777777777E-2</v>
      </c>
      <c r="O36" s="547">
        <f t="shared" si="3"/>
        <v>6.0277777777777777E-2</v>
      </c>
      <c r="P36" s="547">
        <f t="shared" si="3"/>
        <v>6.0277777777777777E-2</v>
      </c>
      <c r="Q36" s="547">
        <f t="shared" si="2"/>
        <v>7.1599999999999997E-2</v>
      </c>
      <c r="R36" s="506"/>
    </row>
    <row r="37" spans="1:18" ht="3.75" customHeight="1">
      <c r="B37" s="548"/>
      <c r="C37" s="549"/>
      <c r="D37" s="549"/>
      <c r="E37" s="549"/>
      <c r="F37" s="549"/>
      <c r="H37" s="550"/>
      <c r="I37" s="550"/>
      <c r="J37" s="550"/>
      <c r="K37" s="550"/>
      <c r="L37" s="550"/>
      <c r="M37" s="550"/>
      <c r="N37" s="550"/>
      <c r="O37" s="550"/>
      <c r="P37" s="550"/>
      <c r="Q37" s="550"/>
    </row>
    <row r="38" spans="1:18" s="544" customFormat="1" ht="15" customHeight="1">
      <c r="A38" s="537"/>
      <c r="B38" s="538"/>
      <c r="C38" s="539" t="s">
        <v>274</v>
      </c>
      <c r="D38" s="539"/>
      <c r="E38" s="539"/>
      <c r="F38" s="540"/>
      <c r="G38" s="3"/>
      <c r="H38" s="538"/>
      <c r="I38" s="541"/>
      <c r="J38" s="541"/>
      <c r="K38" s="541"/>
      <c r="L38" s="541"/>
      <c r="M38" s="541"/>
      <c r="N38" s="541"/>
      <c r="O38" s="541"/>
      <c r="P38" s="541"/>
      <c r="Q38" s="542"/>
      <c r="R38" s="543"/>
    </row>
    <row r="39" spans="1:18" ht="15" customHeight="1">
      <c r="A39" s="476"/>
      <c r="B39" s="484" t="s">
        <v>2</v>
      </c>
      <c r="C39" s="485" t="s">
        <v>51</v>
      </c>
      <c r="D39" s="522"/>
      <c r="E39" s="523" t="s">
        <v>104</v>
      </c>
      <c r="F39" s="523"/>
      <c r="H39" s="551">
        <v>0.2</v>
      </c>
      <c r="I39" s="551">
        <v>0.2</v>
      </c>
      <c r="J39" s="551">
        <v>0.2</v>
      </c>
      <c r="K39" s="551">
        <v>0.2</v>
      </c>
      <c r="L39" s="551">
        <v>0.2</v>
      </c>
      <c r="M39" s="551">
        <v>0.2</v>
      </c>
      <c r="N39" s="551">
        <v>0.2</v>
      </c>
      <c r="O39" s="551">
        <v>0.2</v>
      </c>
      <c r="P39" s="551">
        <v>0.2</v>
      </c>
      <c r="Q39" s="551">
        <f t="shared" ref="Q39:Q49" si="4">IFERROR(ROUND(IF($Q$15="Simples",
INDEX(H39:P39,MATCH($Q$16,$H$16:$P$16,1)),
INDEX(H39:P39,MATCH($Q$15,$H$13:$P$13,0))
),4),"")</f>
        <v>0.2</v>
      </c>
      <c r="R39" s="506"/>
    </row>
    <row r="40" spans="1:18" ht="15" customHeight="1">
      <c r="A40" s="476"/>
      <c r="B40" s="552" t="s">
        <v>1</v>
      </c>
      <c r="C40" s="553" t="s">
        <v>52</v>
      </c>
      <c r="D40" s="522"/>
      <c r="E40" s="523" t="s">
        <v>105</v>
      </c>
      <c r="F40" s="523"/>
      <c r="H40" s="551">
        <v>1.4999999999999999E-2</v>
      </c>
      <c r="I40" s="551">
        <v>1.4999999999999999E-2</v>
      </c>
      <c r="J40" s="551"/>
      <c r="K40" s="551"/>
      <c r="L40" s="551"/>
      <c r="M40" s="551"/>
      <c r="N40" s="551"/>
      <c r="O40" s="551"/>
      <c r="P40" s="551"/>
      <c r="Q40" s="551">
        <f t="shared" si="4"/>
        <v>1.4999999999999999E-2</v>
      </c>
      <c r="R40" s="506"/>
    </row>
    <row r="41" spans="1:18" ht="15" customHeight="1">
      <c r="A41" s="476"/>
      <c r="B41" s="552" t="s">
        <v>0</v>
      </c>
      <c r="C41" s="485" t="s">
        <v>53</v>
      </c>
      <c r="D41" s="522"/>
      <c r="E41" s="523" t="s">
        <v>106</v>
      </c>
      <c r="F41" s="523"/>
      <c r="H41" s="551">
        <v>0.01</v>
      </c>
      <c r="I41" s="551">
        <v>0.01</v>
      </c>
      <c r="J41" s="551"/>
      <c r="K41" s="551"/>
      <c r="L41" s="551"/>
      <c r="M41" s="551"/>
      <c r="N41" s="551"/>
      <c r="O41" s="551"/>
      <c r="P41" s="551"/>
      <c r="Q41" s="551">
        <f t="shared" si="4"/>
        <v>0.01</v>
      </c>
      <c r="R41" s="506"/>
    </row>
    <row r="42" spans="1:18" ht="15" customHeight="1">
      <c r="A42" s="476"/>
      <c r="B42" s="484" t="s">
        <v>3</v>
      </c>
      <c r="C42" s="553" t="s">
        <v>54</v>
      </c>
      <c r="D42" s="522"/>
      <c r="E42" s="523" t="s">
        <v>107</v>
      </c>
      <c r="F42" s="523"/>
      <c r="H42" s="551">
        <v>2E-3</v>
      </c>
      <c r="I42" s="551">
        <v>2E-3</v>
      </c>
      <c r="J42" s="551"/>
      <c r="K42" s="551"/>
      <c r="L42" s="551"/>
      <c r="M42" s="551"/>
      <c r="N42" s="551"/>
      <c r="O42" s="551"/>
      <c r="P42" s="551"/>
      <c r="Q42" s="551">
        <f t="shared" si="4"/>
        <v>2E-3</v>
      </c>
      <c r="R42" s="506"/>
    </row>
    <row r="43" spans="1:18" ht="15" customHeight="1">
      <c r="A43" s="476"/>
      <c r="B43" s="552" t="s">
        <v>7</v>
      </c>
      <c r="C43" s="485" t="s">
        <v>55</v>
      </c>
      <c r="D43" s="522"/>
      <c r="E43" s="523" t="s">
        <v>108</v>
      </c>
      <c r="F43" s="523"/>
      <c r="H43" s="551">
        <v>2.5000000000000001E-2</v>
      </c>
      <c r="I43" s="551">
        <v>2.5000000000000001E-2</v>
      </c>
      <c r="J43" s="551"/>
      <c r="K43" s="551"/>
      <c r="L43" s="551"/>
      <c r="M43" s="551"/>
      <c r="N43" s="551"/>
      <c r="O43" s="551"/>
      <c r="P43" s="551"/>
      <c r="Q43" s="551">
        <f t="shared" si="4"/>
        <v>2.5000000000000001E-2</v>
      </c>
      <c r="R43" s="506"/>
    </row>
    <row r="44" spans="1:18" ht="15" customHeight="1">
      <c r="A44" s="476"/>
      <c r="B44" s="552" t="s">
        <v>6</v>
      </c>
      <c r="C44" s="553" t="s">
        <v>56</v>
      </c>
      <c r="D44" s="522"/>
      <c r="E44" s="523" t="s">
        <v>191</v>
      </c>
      <c r="F44" s="523"/>
      <c r="H44" s="551">
        <v>0.08</v>
      </c>
      <c r="I44" s="551">
        <v>0.08</v>
      </c>
      <c r="J44" s="551">
        <v>0.08</v>
      </c>
      <c r="K44" s="551">
        <v>0.08</v>
      </c>
      <c r="L44" s="551">
        <v>0.08</v>
      </c>
      <c r="M44" s="551">
        <v>0.08</v>
      </c>
      <c r="N44" s="551">
        <v>0.08</v>
      </c>
      <c r="O44" s="551">
        <v>0.08</v>
      </c>
      <c r="P44" s="551">
        <v>0.08</v>
      </c>
      <c r="Q44" s="551">
        <f t="shared" si="4"/>
        <v>0.08</v>
      </c>
      <c r="R44" s="506"/>
    </row>
    <row r="45" spans="1:18" ht="15" customHeight="1">
      <c r="A45" s="476"/>
      <c r="B45" s="973" t="s">
        <v>5</v>
      </c>
      <c r="C45" s="485" t="str">
        <f>CONCATENATE("GILL/RAT (RAT ",H46," x FAP ",H47,")")</f>
        <v>GILL/RAT (RAT 0,03 x FAP 1)</v>
      </c>
      <c r="D45" s="522" t="s">
        <v>363</v>
      </c>
      <c r="E45" s="523" t="s">
        <v>109</v>
      </c>
      <c r="F45" s="523" t="s">
        <v>192</v>
      </c>
      <c r="H45" s="551">
        <f>ROUND(H46*H47,2)</f>
        <v>0.03</v>
      </c>
      <c r="I45" s="551">
        <f t="shared" ref="I45:P45" si="5">ROUND(I46*I47,2)</f>
        <v>0.03</v>
      </c>
      <c r="J45" s="551">
        <f>ROUND(J46*J47,2)</f>
        <v>0.03</v>
      </c>
      <c r="K45" s="551">
        <f t="shared" si="5"/>
        <v>0.03</v>
      </c>
      <c r="L45" s="551">
        <f t="shared" si="5"/>
        <v>0.03</v>
      </c>
      <c r="M45" s="551">
        <f t="shared" si="5"/>
        <v>0.03</v>
      </c>
      <c r="N45" s="551">
        <f t="shared" si="5"/>
        <v>0.03</v>
      </c>
      <c r="O45" s="551">
        <f t="shared" si="5"/>
        <v>0.03</v>
      </c>
      <c r="P45" s="551">
        <f t="shared" si="5"/>
        <v>0.03</v>
      </c>
      <c r="Q45" s="551">
        <f t="shared" si="4"/>
        <v>0.03</v>
      </c>
      <c r="R45" s="506"/>
    </row>
    <row r="46" spans="1:18" ht="15" customHeight="1">
      <c r="A46" s="476"/>
      <c r="B46" s="973"/>
      <c r="C46" s="554" t="s">
        <v>49</v>
      </c>
      <c r="D46" s="555"/>
      <c r="E46" s="555"/>
      <c r="F46" s="555"/>
      <c r="H46" s="551">
        <v>0.03</v>
      </c>
      <c r="I46" s="551">
        <f>H46</f>
        <v>0.03</v>
      </c>
      <c r="J46" s="551">
        <f>I46</f>
        <v>0.03</v>
      </c>
      <c r="K46" s="551">
        <f>I46</f>
        <v>0.03</v>
      </c>
      <c r="L46" s="551">
        <f t="shared" ref="I46:P47" si="6">K46</f>
        <v>0.03</v>
      </c>
      <c r="M46" s="551">
        <f t="shared" si="6"/>
        <v>0.03</v>
      </c>
      <c r="N46" s="551">
        <f t="shared" si="6"/>
        <v>0.03</v>
      </c>
      <c r="O46" s="551">
        <f t="shared" si="6"/>
        <v>0.03</v>
      </c>
      <c r="P46" s="551">
        <f t="shared" si="6"/>
        <v>0.03</v>
      </c>
      <c r="Q46" s="551">
        <f t="shared" si="4"/>
        <v>0.03</v>
      </c>
      <c r="R46" s="506"/>
    </row>
    <row r="47" spans="1:18" ht="15" customHeight="1">
      <c r="A47" s="476"/>
      <c r="B47" s="973"/>
      <c r="C47" s="554" t="s">
        <v>44</v>
      </c>
      <c r="D47" s="556"/>
      <c r="E47" s="556"/>
      <c r="F47" s="556"/>
      <c r="H47" s="557">
        <v>1</v>
      </c>
      <c r="I47" s="557">
        <f t="shared" si="6"/>
        <v>1</v>
      </c>
      <c r="J47" s="557">
        <f t="shared" si="6"/>
        <v>1</v>
      </c>
      <c r="K47" s="557">
        <f>I47</f>
        <v>1</v>
      </c>
      <c r="L47" s="557">
        <f t="shared" si="6"/>
        <v>1</v>
      </c>
      <c r="M47" s="557">
        <f t="shared" si="6"/>
        <v>1</v>
      </c>
      <c r="N47" s="557">
        <f t="shared" si="6"/>
        <v>1</v>
      </c>
      <c r="O47" s="557">
        <f t="shared" si="6"/>
        <v>1</v>
      </c>
      <c r="P47" s="557">
        <f t="shared" si="6"/>
        <v>1</v>
      </c>
      <c r="Q47" s="557">
        <f t="shared" si="4"/>
        <v>1</v>
      </c>
      <c r="R47" s="506"/>
    </row>
    <row r="48" spans="1:18" ht="15" customHeight="1">
      <c r="A48" s="476"/>
      <c r="B48" s="552" t="s">
        <v>4</v>
      </c>
      <c r="C48" s="553" t="s">
        <v>57</v>
      </c>
      <c r="D48" s="522"/>
      <c r="E48" s="523" t="s">
        <v>110</v>
      </c>
      <c r="F48" s="523"/>
      <c r="H48" s="551">
        <v>6.0000000000000001E-3</v>
      </c>
      <c r="I48" s="551">
        <v>6.0000000000000001E-3</v>
      </c>
      <c r="J48" s="551"/>
      <c r="K48" s="551"/>
      <c r="L48" s="551"/>
      <c r="M48" s="551"/>
      <c r="N48" s="551"/>
      <c r="O48" s="551"/>
      <c r="P48" s="551"/>
      <c r="Q48" s="551">
        <f t="shared" si="4"/>
        <v>6.0000000000000001E-3</v>
      </c>
      <c r="R48" s="506"/>
    </row>
    <row r="49" spans="1:18" ht="15" customHeight="1">
      <c r="A49" s="476"/>
      <c r="B49" s="538"/>
      <c r="C49" s="558"/>
      <c r="D49" s="539"/>
      <c r="E49" s="539"/>
      <c r="F49" s="540"/>
      <c r="H49" s="559">
        <f>SUM(H39:H48)-H46-H47</f>
        <v>0.3680000000000001</v>
      </c>
      <c r="I49" s="559">
        <f>SUM(I39:I48)-I46-I47</f>
        <v>0.3680000000000001</v>
      </c>
      <c r="J49" s="559">
        <f>SUM(J39:J48)-J46-J47</f>
        <v>0.31000000000000005</v>
      </c>
      <c r="K49" s="559">
        <f>SUM(K39:K45)+K48</f>
        <v>0.31000000000000005</v>
      </c>
      <c r="L49" s="559">
        <f>SUM(L39:L48)-L46-L47</f>
        <v>0.31000000000000005</v>
      </c>
      <c r="M49" s="559">
        <f>SUM(M39:M48)-M46-M47</f>
        <v>0.31000000000000005</v>
      </c>
      <c r="N49" s="559">
        <f>SUM(N39:N48)-N46-N47</f>
        <v>0.31000000000000005</v>
      </c>
      <c r="O49" s="559">
        <f>SUM(O39:O48)-O46-O47</f>
        <v>0.31000000000000005</v>
      </c>
      <c r="P49" s="559">
        <f>SUM(P39:P48)-P46-P47</f>
        <v>0.31000000000000005</v>
      </c>
      <c r="Q49" s="559">
        <f t="shared" si="4"/>
        <v>0.36799999999999999</v>
      </c>
      <c r="R49" s="506"/>
    </row>
    <row r="50" spans="1:18" ht="3.75" customHeight="1">
      <c r="H50" s="560"/>
      <c r="I50" s="560"/>
      <c r="J50" s="560"/>
      <c r="K50" s="560"/>
      <c r="L50" s="561"/>
      <c r="M50" s="560"/>
      <c r="N50" s="560"/>
      <c r="O50" s="560"/>
      <c r="P50" s="560"/>
      <c r="Q50" s="560"/>
    </row>
    <row r="51" spans="1:18" s="544" customFormat="1" ht="15" customHeight="1">
      <c r="B51" s="538"/>
      <c r="C51" s="539" t="s">
        <v>154</v>
      </c>
      <c r="D51" s="539"/>
      <c r="E51" s="539"/>
      <c r="F51" s="540"/>
      <c r="G51" s="3"/>
      <c r="H51" s="538"/>
      <c r="I51" s="541"/>
      <c r="J51" s="541"/>
      <c r="K51" s="541"/>
      <c r="L51" s="541"/>
      <c r="M51" s="541"/>
      <c r="N51" s="541"/>
      <c r="O51" s="541"/>
      <c r="P51" s="541"/>
      <c r="Q51" s="542"/>
    </row>
    <row r="52" spans="1:18" ht="15" customHeight="1">
      <c r="B52" s="520" t="s">
        <v>2</v>
      </c>
      <c r="C52" s="521" t="s">
        <v>88</v>
      </c>
      <c r="D52" s="522" t="s">
        <v>195</v>
      </c>
      <c r="E52" s="523" t="s">
        <v>111</v>
      </c>
      <c r="F52" s="523" t="s">
        <v>197</v>
      </c>
      <c r="H52" s="551"/>
      <c r="I52" s="551"/>
      <c r="J52" s="551"/>
      <c r="K52" s="551"/>
      <c r="L52" s="551"/>
      <c r="M52" s="551"/>
      <c r="N52" s="551"/>
      <c r="O52" s="551"/>
      <c r="P52" s="551"/>
      <c r="Q52" s="551"/>
    </row>
    <row r="53" spans="1:18" ht="15" customHeight="1">
      <c r="B53" s="520" t="s">
        <v>1</v>
      </c>
      <c r="C53" s="521" t="s">
        <v>23</v>
      </c>
      <c r="D53" s="522" t="s">
        <v>193</v>
      </c>
      <c r="E53" s="523" t="s">
        <v>112</v>
      </c>
      <c r="F53" s="523" t="s">
        <v>197</v>
      </c>
      <c r="H53" s="551"/>
      <c r="I53" s="551"/>
      <c r="J53" s="551"/>
      <c r="K53" s="551"/>
      <c r="L53" s="551"/>
      <c r="M53" s="551"/>
      <c r="N53" s="551"/>
      <c r="O53" s="551"/>
      <c r="P53" s="551"/>
      <c r="Q53" s="551"/>
    </row>
    <row r="54" spans="1:18" ht="15" customHeight="1">
      <c r="B54" s="520" t="s">
        <v>0</v>
      </c>
      <c r="C54" s="521" t="s">
        <v>25</v>
      </c>
      <c r="D54" s="522" t="s">
        <v>196</v>
      </c>
      <c r="E54" s="523" t="s">
        <v>113</v>
      </c>
      <c r="F54" s="523" t="s">
        <v>197</v>
      </c>
      <c r="H54" s="551"/>
      <c r="I54" s="551"/>
      <c r="J54" s="551"/>
      <c r="K54" s="551"/>
      <c r="L54" s="551"/>
      <c r="M54" s="551"/>
      <c r="N54" s="551"/>
      <c r="O54" s="551"/>
      <c r="P54" s="551"/>
      <c r="Q54" s="551"/>
    </row>
    <row r="55" spans="1:18" ht="15" customHeight="1">
      <c r="B55" s="520" t="s">
        <v>3</v>
      </c>
      <c r="C55" s="521" t="s">
        <v>27</v>
      </c>
      <c r="D55" s="522" t="s">
        <v>194</v>
      </c>
      <c r="E55" s="523" t="s">
        <v>113</v>
      </c>
      <c r="F55" s="523" t="s">
        <v>220</v>
      </c>
      <c r="H55" s="551"/>
      <c r="I55" s="551"/>
      <c r="J55" s="551"/>
      <c r="K55" s="551"/>
      <c r="L55" s="551"/>
      <c r="M55" s="551"/>
      <c r="N55" s="551"/>
      <c r="O55" s="551"/>
      <c r="P55" s="551"/>
      <c r="Q55" s="551"/>
    </row>
    <row r="56" spans="1:18" ht="15" customHeight="1">
      <c r="B56" s="520" t="s">
        <v>7</v>
      </c>
      <c r="C56" s="521" t="s">
        <v>28</v>
      </c>
      <c r="D56" s="522" t="s">
        <v>194</v>
      </c>
      <c r="E56" s="523"/>
      <c r="F56" s="523" t="s">
        <v>220</v>
      </c>
      <c r="H56" s="551"/>
      <c r="I56" s="551"/>
      <c r="J56" s="551"/>
      <c r="K56" s="551"/>
      <c r="L56" s="551"/>
      <c r="M56" s="551"/>
      <c r="N56" s="551"/>
      <c r="O56" s="551"/>
      <c r="P56" s="551"/>
      <c r="Q56" s="551"/>
    </row>
    <row r="57" spans="1:18" ht="15" customHeight="1">
      <c r="B57" s="520" t="s">
        <v>6</v>
      </c>
      <c r="C57" s="521" t="s">
        <v>29</v>
      </c>
      <c r="D57" s="522" t="s">
        <v>196</v>
      </c>
      <c r="E57" s="523"/>
      <c r="F57" s="523" t="s">
        <v>197</v>
      </c>
      <c r="H57" s="551"/>
      <c r="I57" s="551"/>
      <c r="J57" s="551"/>
      <c r="K57" s="551"/>
      <c r="L57" s="551"/>
      <c r="M57" s="551"/>
      <c r="N57" s="551"/>
      <c r="O57" s="551"/>
      <c r="P57" s="551"/>
      <c r="Q57" s="551"/>
    </row>
    <row r="58" spans="1:18" ht="15" customHeight="1">
      <c r="B58" s="520" t="s">
        <v>5</v>
      </c>
      <c r="C58" s="521" t="s">
        <v>30</v>
      </c>
      <c r="D58" s="522" t="s">
        <v>194</v>
      </c>
      <c r="E58" s="523"/>
      <c r="F58" s="523" t="s">
        <v>220</v>
      </c>
      <c r="H58" s="551"/>
      <c r="I58" s="551"/>
      <c r="J58" s="551"/>
      <c r="K58" s="551"/>
      <c r="L58" s="551"/>
      <c r="M58" s="551"/>
      <c r="N58" s="551"/>
      <c r="O58" s="551"/>
      <c r="P58" s="551"/>
      <c r="Q58" s="551"/>
    </row>
    <row r="59" spans="1:18" ht="15" customHeight="1">
      <c r="B59" s="520" t="s">
        <v>4</v>
      </c>
      <c r="C59" s="521" t="s">
        <v>142</v>
      </c>
      <c r="D59" s="522" t="s">
        <v>194</v>
      </c>
      <c r="E59" s="523"/>
      <c r="F59" s="523" t="s">
        <v>220</v>
      </c>
      <c r="H59" s="551"/>
      <c r="I59" s="551"/>
      <c r="J59" s="551"/>
      <c r="K59" s="551"/>
      <c r="L59" s="551"/>
      <c r="M59" s="551"/>
      <c r="N59" s="551"/>
      <c r="O59" s="551"/>
      <c r="P59" s="551"/>
      <c r="Q59" s="551"/>
    </row>
    <row r="60" spans="1:18" ht="15" customHeight="1">
      <c r="H60" s="560"/>
      <c r="I60" s="560"/>
      <c r="J60" s="560"/>
      <c r="K60" s="560"/>
      <c r="L60" s="561"/>
      <c r="M60" s="560"/>
      <c r="N60" s="560"/>
      <c r="O60" s="560"/>
      <c r="P60" s="560"/>
      <c r="Q60" s="560"/>
    </row>
    <row r="61" spans="1:18" s="3" customFormat="1" ht="15" customHeight="1">
      <c r="B61" s="477"/>
      <c r="C61" s="517" t="s">
        <v>155</v>
      </c>
      <c r="D61" s="517"/>
      <c r="E61" s="517"/>
      <c r="F61" s="479"/>
      <c r="H61" s="477"/>
      <c r="I61" s="518"/>
      <c r="J61" s="518"/>
      <c r="K61" s="518"/>
      <c r="L61" s="518"/>
      <c r="M61" s="518"/>
      <c r="N61" s="518"/>
      <c r="O61" s="518"/>
      <c r="P61" s="518"/>
      <c r="Q61" s="519"/>
    </row>
    <row r="62" spans="1:18" ht="3.75" customHeight="1">
      <c r="B62" s="562"/>
      <c r="H62" s="563"/>
      <c r="I62" s="563"/>
      <c r="J62" s="563"/>
      <c r="K62" s="563"/>
      <c r="L62" s="563"/>
      <c r="M62" s="563"/>
      <c r="N62" s="563"/>
      <c r="O62" s="563"/>
      <c r="P62" s="563"/>
      <c r="Q62" s="563"/>
    </row>
    <row r="63" spans="1:18" s="544" customFormat="1" ht="15" customHeight="1">
      <c r="B63" s="538"/>
      <c r="C63" s="539" t="s">
        <v>249</v>
      </c>
      <c r="D63" s="539"/>
      <c r="E63" s="539"/>
      <c r="F63" s="540"/>
      <c r="G63" s="3"/>
      <c r="H63" s="538"/>
      <c r="I63" s="541"/>
      <c r="J63" s="541"/>
      <c r="K63" s="541"/>
      <c r="L63" s="541"/>
      <c r="M63" s="541"/>
      <c r="N63" s="541"/>
      <c r="O63" s="541"/>
      <c r="P63" s="541"/>
      <c r="Q63" s="542"/>
    </row>
    <row r="64" spans="1:18" ht="15" customHeight="1">
      <c r="A64" s="476"/>
      <c r="B64" s="484"/>
      <c r="C64" s="564" t="s">
        <v>250</v>
      </c>
      <c r="D64" s="565"/>
      <c r="E64" s="565"/>
      <c r="F64" s="565"/>
      <c r="H64" s="566">
        <v>0.05</v>
      </c>
      <c r="I64" s="566">
        <f>H64</f>
        <v>0.05</v>
      </c>
      <c r="J64" s="566">
        <f>I64</f>
        <v>0.05</v>
      </c>
      <c r="K64" s="566">
        <f t="shared" ref="K64:K69" si="7">I64</f>
        <v>0.05</v>
      </c>
      <c r="L64" s="566">
        <f>K64</f>
        <v>0.05</v>
      </c>
      <c r="M64" s="566">
        <f>L64</f>
        <v>0.05</v>
      </c>
      <c r="N64" s="566">
        <f>M64</f>
        <v>0.05</v>
      </c>
      <c r="O64" s="566">
        <f>N64</f>
        <v>0.05</v>
      </c>
      <c r="P64" s="566">
        <f>O64</f>
        <v>0.05</v>
      </c>
      <c r="Q64" s="566">
        <f t="shared" ref="Q64:Q69" si="8">IFERROR(ROUND(IF($Q$15="Simples",
INDEX(H64:P64,MATCH($Q$16,$H$16:$P$16,1)),
INDEX(H64:P64,MATCH($Q$15,$H$13:$P$13,0))
),4),"")</f>
        <v>0.05</v>
      </c>
      <c r="R64" s="506"/>
    </row>
    <row r="65" spans="1:18" ht="15" customHeight="1">
      <c r="A65" s="476"/>
      <c r="B65" s="484"/>
      <c r="C65" s="564" t="s">
        <v>56</v>
      </c>
      <c r="D65" s="565"/>
      <c r="E65" s="565"/>
      <c r="F65" s="565"/>
      <c r="H65" s="566">
        <v>0.08</v>
      </c>
      <c r="I65" s="566">
        <f t="shared" ref="I65:P69" si="9">H65</f>
        <v>0.08</v>
      </c>
      <c r="J65" s="566">
        <f t="shared" si="9"/>
        <v>0.08</v>
      </c>
      <c r="K65" s="566">
        <f t="shared" si="7"/>
        <v>0.08</v>
      </c>
      <c r="L65" s="566">
        <f t="shared" si="9"/>
        <v>0.08</v>
      </c>
      <c r="M65" s="566">
        <f t="shared" si="9"/>
        <v>0.08</v>
      </c>
      <c r="N65" s="566">
        <f t="shared" si="9"/>
        <v>0.08</v>
      </c>
      <c r="O65" s="566">
        <f t="shared" si="9"/>
        <v>0.08</v>
      </c>
      <c r="P65" s="566">
        <f t="shared" si="9"/>
        <v>0.08</v>
      </c>
      <c r="Q65" s="566">
        <f t="shared" si="8"/>
        <v>0.08</v>
      </c>
      <c r="R65" s="506"/>
    </row>
    <row r="66" spans="1:18" ht="15" customHeight="1">
      <c r="A66" s="476"/>
      <c r="B66" s="484"/>
      <c r="C66" s="564" t="s">
        <v>251</v>
      </c>
      <c r="D66" s="565"/>
      <c r="E66" s="565"/>
      <c r="F66" s="565"/>
      <c r="H66" s="566">
        <v>0.4</v>
      </c>
      <c r="I66" s="566">
        <f t="shared" si="9"/>
        <v>0.4</v>
      </c>
      <c r="J66" s="566">
        <f t="shared" si="9"/>
        <v>0.4</v>
      </c>
      <c r="K66" s="566">
        <f t="shared" si="7"/>
        <v>0.4</v>
      </c>
      <c r="L66" s="566">
        <f t="shared" si="9"/>
        <v>0.4</v>
      </c>
      <c r="M66" s="566">
        <f t="shared" si="9"/>
        <v>0.4</v>
      </c>
      <c r="N66" s="566">
        <f t="shared" si="9"/>
        <v>0.4</v>
      </c>
      <c r="O66" s="566">
        <f t="shared" si="9"/>
        <v>0.4</v>
      </c>
      <c r="P66" s="566">
        <f t="shared" si="9"/>
        <v>0.4</v>
      </c>
      <c r="Q66" s="566">
        <f t="shared" si="8"/>
        <v>0.4</v>
      </c>
      <c r="R66" s="506"/>
    </row>
    <row r="67" spans="1:18" ht="15" customHeight="1">
      <c r="A67" s="476"/>
      <c r="B67" s="484"/>
      <c r="C67" s="564" t="s">
        <v>252</v>
      </c>
      <c r="D67" s="565"/>
      <c r="E67" s="565"/>
      <c r="F67" s="565"/>
      <c r="H67" s="566">
        <v>0.02</v>
      </c>
      <c r="I67" s="566">
        <f t="shared" si="9"/>
        <v>0.02</v>
      </c>
      <c r="J67" s="566">
        <f t="shared" si="9"/>
        <v>0.02</v>
      </c>
      <c r="K67" s="566">
        <f t="shared" si="7"/>
        <v>0.02</v>
      </c>
      <c r="L67" s="566">
        <f t="shared" si="9"/>
        <v>0.02</v>
      </c>
      <c r="M67" s="566">
        <f t="shared" si="9"/>
        <v>0.02</v>
      </c>
      <c r="N67" s="566">
        <f t="shared" si="9"/>
        <v>0.02</v>
      </c>
      <c r="O67" s="566">
        <f t="shared" si="9"/>
        <v>0.02</v>
      </c>
      <c r="P67" s="566">
        <f t="shared" si="9"/>
        <v>0.02</v>
      </c>
      <c r="Q67" s="566">
        <f t="shared" si="8"/>
        <v>0.02</v>
      </c>
      <c r="R67" s="506"/>
    </row>
    <row r="68" spans="1:18" ht="15" customHeight="1">
      <c r="A68" s="476"/>
      <c r="B68" s="484"/>
      <c r="C68" s="564" t="s">
        <v>253</v>
      </c>
      <c r="D68" s="565"/>
      <c r="E68" s="565"/>
      <c r="F68" s="565"/>
      <c r="H68" s="566">
        <v>1</v>
      </c>
      <c r="I68" s="566">
        <f t="shared" si="9"/>
        <v>1</v>
      </c>
      <c r="J68" s="566">
        <f t="shared" si="9"/>
        <v>1</v>
      </c>
      <c r="K68" s="566">
        <f t="shared" si="7"/>
        <v>1</v>
      </c>
      <c r="L68" s="566">
        <f t="shared" si="9"/>
        <v>1</v>
      </c>
      <c r="M68" s="566">
        <f t="shared" si="9"/>
        <v>1</v>
      </c>
      <c r="N68" s="566">
        <f t="shared" si="9"/>
        <v>1</v>
      </c>
      <c r="O68" s="566">
        <f t="shared" si="9"/>
        <v>1</v>
      </c>
      <c r="P68" s="566">
        <f t="shared" si="9"/>
        <v>1</v>
      </c>
      <c r="Q68" s="566">
        <f t="shared" si="8"/>
        <v>1</v>
      </c>
      <c r="R68" s="506"/>
    </row>
    <row r="69" spans="1:18" ht="15" customHeight="1">
      <c r="A69" s="476"/>
      <c r="B69" s="484"/>
      <c r="C69" s="564" t="s">
        <v>254</v>
      </c>
      <c r="D69" s="567"/>
      <c r="E69" s="567"/>
      <c r="F69" s="567"/>
      <c r="H69" s="568">
        <v>7</v>
      </c>
      <c r="I69" s="568">
        <f t="shared" si="9"/>
        <v>7</v>
      </c>
      <c r="J69" s="568">
        <f t="shared" si="9"/>
        <v>7</v>
      </c>
      <c r="K69" s="568">
        <f t="shared" si="7"/>
        <v>7</v>
      </c>
      <c r="L69" s="568">
        <f t="shared" si="9"/>
        <v>7</v>
      </c>
      <c r="M69" s="568">
        <f t="shared" si="9"/>
        <v>7</v>
      </c>
      <c r="N69" s="568">
        <f t="shared" si="9"/>
        <v>7</v>
      </c>
      <c r="O69" s="568">
        <f t="shared" si="9"/>
        <v>7</v>
      </c>
      <c r="P69" s="568">
        <f t="shared" si="9"/>
        <v>7</v>
      </c>
      <c r="Q69" s="568">
        <f t="shared" si="8"/>
        <v>7</v>
      </c>
      <c r="R69" s="506"/>
    </row>
    <row r="70" spans="1:18" ht="3.75" customHeight="1">
      <c r="B70" s="569"/>
      <c r="C70" s="570"/>
      <c r="D70" s="569"/>
      <c r="E70" s="569"/>
      <c r="F70" s="569"/>
      <c r="H70" s="571"/>
      <c r="I70" s="571"/>
      <c r="J70" s="571"/>
      <c r="K70" s="571"/>
      <c r="L70" s="571"/>
      <c r="M70" s="571"/>
      <c r="N70" s="571"/>
      <c r="O70" s="571"/>
      <c r="P70" s="571"/>
      <c r="Q70" s="571"/>
    </row>
    <row r="71" spans="1:18" s="544" customFormat="1" ht="15" customHeight="1">
      <c r="B71" s="538"/>
      <c r="C71" s="539" t="s">
        <v>402</v>
      </c>
      <c r="D71" s="539"/>
      <c r="E71" s="539"/>
      <c r="F71" s="540"/>
      <c r="G71" s="3"/>
      <c r="H71" s="538"/>
      <c r="I71" s="541"/>
      <c r="J71" s="541"/>
      <c r="K71" s="541"/>
      <c r="L71" s="541"/>
      <c r="M71" s="541"/>
      <c r="N71" s="541"/>
      <c r="O71" s="541"/>
      <c r="P71" s="541"/>
      <c r="Q71" s="542"/>
    </row>
    <row r="72" spans="1:18" ht="15" customHeight="1">
      <c r="A72" s="476"/>
      <c r="B72" s="484" t="s">
        <v>2</v>
      </c>
      <c r="C72" s="485" t="s">
        <v>272</v>
      </c>
      <c r="D72" s="522" t="s">
        <v>206</v>
      </c>
      <c r="E72" s="523" t="s">
        <v>114</v>
      </c>
      <c r="F72" s="523" t="s">
        <v>198</v>
      </c>
      <c r="H72" s="551">
        <f>(($D$5/$D$5)/$D$8)*H64</f>
        <v>4.1666666666666666E-3</v>
      </c>
      <c r="I72" s="551">
        <f t="shared" ref="I72:J77" si="10">H72</f>
        <v>4.1666666666666666E-3</v>
      </c>
      <c r="J72" s="551">
        <f t="shared" si="10"/>
        <v>4.1666666666666666E-3</v>
      </c>
      <c r="K72" s="551">
        <f t="shared" ref="K72:K77" si="11">I72</f>
        <v>4.1666666666666666E-3</v>
      </c>
      <c r="L72" s="551">
        <f t="shared" ref="L72:P77" si="12">K72</f>
        <v>4.1666666666666666E-3</v>
      </c>
      <c r="M72" s="551">
        <f t="shared" si="12"/>
        <v>4.1666666666666666E-3</v>
      </c>
      <c r="N72" s="551">
        <f t="shared" si="12"/>
        <v>4.1666666666666666E-3</v>
      </c>
      <c r="O72" s="551">
        <f t="shared" si="12"/>
        <v>4.1666666666666666E-3</v>
      </c>
      <c r="P72" s="551">
        <f t="shared" si="12"/>
        <v>4.1666666666666666E-3</v>
      </c>
      <c r="Q72" s="551">
        <f t="shared" ref="Q72:Q77" si="13">IFERROR(ROUND(IF($Q$15="Simples",
INDEX(H72:P72,MATCH($Q$16,$H$16:$P$16,1)),
INDEX(H72:P72,MATCH($Q$15,$H$13:$P$13,0))
),4),"")</f>
        <v>4.1999999999999997E-3</v>
      </c>
      <c r="R72" s="506"/>
    </row>
    <row r="73" spans="1:18" ht="15" customHeight="1">
      <c r="A73" s="476"/>
      <c r="B73" s="552" t="s">
        <v>1</v>
      </c>
      <c r="C73" s="485" t="s">
        <v>31</v>
      </c>
      <c r="D73" s="522" t="s">
        <v>201</v>
      </c>
      <c r="E73" s="523" t="s">
        <v>115</v>
      </c>
      <c r="F73" s="523"/>
      <c r="H73" s="551">
        <f>(($D$5/$D$5)/$D$8)*H64*H65</f>
        <v>3.3333333333333332E-4</v>
      </c>
      <c r="I73" s="551">
        <f t="shared" si="10"/>
        <v>3.3333333333333332E-4</v>
      </c>
      <c r="J73" s="551">
        <f t="shared" si="10"/>
        <v>3.3333333333333332E-4</v>
      </c>
      <c r="K73" s="551">
        <f t="shared" si="11"/>
        <v>3.3333333333333332E-4</v>
      </c>
      <c r="L73" s="551">
        <f t="shared" si="12"/>
        <v>3.3333333333333332E-4</v>
      </c>
      <c r="M73" s="551">
        <f t="shared" si="12"/>
        <v>3.3333333333333332E-4</v>
      </c>
      <c r="N73" s="551">
        <f t="shared" si="12"/>
        <v>3.3333333333333332E-4</v>
      </c>
      <c r="O73" s="551">
        <f t="shared" si="12"/>
        <v>3.3333333333333332E-4</v>
      </c>
      <c r="P73" s="551">
        <f t="shared" si="12"/>
        <v>3.3333333333333332E-4</v>
      </c>
      <c r="Q73" s="551">
        <f t="shared" si="13"/>
        <v>2.9999999999999997E-4</v>
      </c>
      <c r="R73" s="506"/>
    </row>
    <row r="74" spans="1:18" ht="15" customHeight="1">
      <c r="A74" s="476"/>
      <c r="B74" s="552" t="s">
        <v>0</v>
      </c>
      <c r="C74" s="485" t="s">
        <v>32</v>
      </c>
      <c r="D74" s="522" t="s">
        <v>202</v>
      </c>
      <c r="E74" s="523" t="s">
        <v>116</v>
      </c>
      <c r="F74" s="523" t="s">
        <v>221</v>
      </c>
      <c r="H74" s="572">
        <f>H72*H65*H66</f>
        <v>1.3333333333333334E-4</v>
      </c>
      <c r="I74" s="551">
        <f t="shared" si="10"/>
        <v>1.3333333333333334E-4</v>
      </c>
      <c r="J74" s="551">
        <f t="shared" si="10"/>
        <v>1.3333333333333334E-4</v>
      </c>
      <c r="K74" s="551">
        <f t="shared" si="11"/>
        <v>1.3333333333333334E-4</v>
      </c>
      <c r="L74" s="551">
        <f t="shared" si="12"/>
        <v>1.3333333333333334E-4</v>
      </c>
      <c r="M74" s="551">
        <f t="shared" si="12"/>
        <v>1.3333333333333334E-4</v>
      </c>
      <c r="N74" s="551">
        <f t="shared" si="12"/>
        <v>1.3333333333333334E-4</v>
      </c>
      <c r="O74" s="551">
        <f t="shared" si="12"/>
        <v>1.3333333333333334E-4</v>
      </c>
      <c r="P74" s="551">
        <f t="shared" si="12"/>
        <v>1.3333333333333334E-4</v>
      </c>
      <c r="Q74" s="551">
        <f t="shared" si="13"/>
        <v>1E-4</v>
      </c>
      <c r="R74" s="506"/>
    </row>
    <row r="75" spans="1:18" ht="15" customHeight="1">
      <c r="A75" s="476"/>
      <c r="B75" s="484" t="s">
        <v>3</v>
      </c>
      <c r="C75" s="485" t="s">
        <v>33</v>
      </c>
      <c r="D75" s="522" t="s">
        <v>554</v>
      </c>
      <c r="E75" s="523" t="s">
        <v>117</v>
      </c>
      <c r="F75" s="523" t="s">
        <v>199</v>
      </c>
      <c r="H75" s="572">
        <f>(((H69/$D$5/$D$8)*H67)+(H69/$D$5/$D$8))</f>
        <v>1.9833333333333335E-2</v>
      </c>
      <c r="I75" s="551">
        <f t="shared" si="10"/>
        <v>1.9833333333333335E-2</v>
      </c>
      <c r="J75" s="551">
        <f t="shared" si="10"/>
        <v>1.9833333333333335E-2</v>
      </c>
      <c r="K75" s="551">
        <f t="shared" si="11"/>
        <v>1.9833333333333335E-2</v>
      </c>
      <c r="L75" s="551">
        <f t="shared" si="12"/>
        <v>1.9833333333333335E-2</v>
      </c>
      <c r="M75" s="551">
        <f t="shared" si="12"/>
        <v>1.9833333333333335E-2</v>
      </c>
      <c r="N75" s="551">
        <f t="shared" si="12"/>
        <v>1.9833333333333335E-2</v>
      </c>
      <c r="O75" s="551">
        <f t="shared" si="12"/>
        <v>1.9833333333333335E-2</v>
      </c>
      <c r="P75" s="551">
        <f t="shared" si="12"/>
        <v>1.9833333333333335E-2</v>
      </c>
      <c r="Q75" s="551">
        <f t="shared" si="13"/>
        <v>1.9800000000000002E-2</v>
      </c>
      <c r="R75" s="506"/>
    </row>
    <row r="76" spans="1:18" ht="15" customHeight="1">
      <c r="A76" s="476"/>
      <c r="B76" s="552" t="s">
        <v>7</v>
      </c>
      <c r="C76" s="485" t="s">
        <v>34</v>
      </c>
      <c r="D76" s="522" t="s">
        <v>118</v>
      </c>
      <c r="E76" s="523" t="s">
        <v>119</v>
      </c>
      <c r="F76" s="523"/>
      <c r="H76" s="551">
        <f>$H$75*H49</f>
        <v>7.2986666666666694E-3</v>
      </c>
      <c r="I76" s="551">
        <f t="shared" si="10"/>
        <v>7.2986666666666694E-3</v>
      </c>
      <c r="J76" s="551">
        <f t="shared" si="10"/>
        <v>7.2986666666666694E-3</v>
      </c>
      <c r="K76" s="551">
        <f t="shared" si="11"/>
        <v>7.2986666666666694E-3</v>
      </c>
      <c r="L76" s="551">
        <f t="shared" si="12"/>
        <v>7.2986666666666694E-3</v>
      </c>
      <c r="M76" s="551">
        <f t="shared" si="12"/>
        <v>7.2986666666666694E-3</v>
      </c>
      <c r="N76" s="551">
        <f t="shared" si="12"/>
        <v>7.2986666666666694E-3</v>
      </c>
      <c r="O76" s="551">
        <f t="shared" si="12"/>
        <v>7.2986666666666694E-3</v>
      </c>
      <c r="P76" s="551">
        <f t="shared" si="12"/>
        <v>7.2986666666666694E-3</v>
      </c>
      <c r="Q76" s="551">
        <f t="shared" si="13"/>
        <v>7.3000000000000001E-3</v>
      </c>
      <c r="R76" s="506"/>
    </row>
    <row r="77" spans="1:18" ht="15" customHeight="1">
      <c r="A77" s="476"/>
      <c r="B77" s="552" t="s">
        <v>6</v>
      </c>
      <c r="C77" s="485" t="s">
        <v>35</v>
      </c>
      <c r="D77" s="522" t="s">
        <v>205</v>
      </c>
      <c r="E77" s="523" t="s">
        <v>120</v>
      </c>
      <c r="F77" s="523" t="s">
        <v>200</v>
      </c>
      <c r="H77" s="547">
        <v>0.04</v>
      </c>
      <c r="I77" s="551">
        <f t="shared" si="10"/>
        <v>0.04</v>
      </c>
      <c r="J77" s="551">
        <f t="shared" si="10"/>
        <v>0.04</v>
      </c>
      <c r="K77" s="551">
        <f t="shared" si="11"/>
        <v>0.04</v>
      </c>
      <c r="L77" s="551">
        <f t="shared" si="12"/>
        <v>0.04</v>
      </c>
      <c r="M77" s="551">
        <f t="shared" si="12"/>
        <v>0.04</v>
      </c>
      <c r="N77" s="551">
        <f t="shared" si="12"/>
        <v>0.04</v>
      </c>
      <c r="O77" s="551">
        <f t="shared" si="12"/>
        <v>0.04</v>
      </c>
      <c r="P77" s="551">
        <f t="shared" si="12"/>
        <v>0.04</v>
      </c>
      <c r="Q77" s="551">
        <f t="shared" si="13"/>
        <v>0.04</v>
      </c>
      <c r="R77" s="506"/>
    </row>
    <row r="78" spans="1:18" ht="15" customHeight="1">
      <c r="B78" s="569"/>
      <c r="C78" s="570"/>
      <c r="D78" s="569"/>
      <c r="E78" s="569"/>
      <c r="F78" s="569"/>
      <c r="H78" s="571"/>
      <c r="I78" s="571"/>
      <c r="J78" s="571"/>
      <c r="K78" s="571"/>
      <c r="L78" s="571"/>
      <c r="M78" s="571"/>
      <c r="N78" s="571"/>
      <c r="O78" s="571"/>
      <c r="P78" s="571"/>
      <c r="Q78" s="571"/>
    </row>
    <row r="79" spans="1:18" s="3" customFormat="1" ht="15" customHeight="1">
      <c r="B79" s="477"/>
      <c r="C79" s="517" t="s">
        <v>156</v>
      </c>
      <c r="D79" s="517"/>
      <c r="E79" s="517"/>
      <c r="F79" s="479"/>
      <c r="H79" s="477"/>
      <c r="I79" s="518"/>
      <c r="J79" s="518"/>
      <c r="K79" s="518"/>
      <c r="L79" s="518"/>
      <c r="M79" s="518"/>
      <c r="N79" s="518"/>
      <c r="O79" s="518"/>
      <c r="P79" s="518"/>
      <c r="Q79" s="519"/>
    </row>
    <row r="80" spans="1:18" s="544" customFormat="1" ht="3.75" customHeight="1">
      <c r="B80" s="573"/>
      <c r="C80" s="574"/>
      <c r="D80" s="573"/>
      <c r="E80" s="573"/>
      <c r="F80" s="573"/>
      <c r="G80" s="3"/>
      <c r="H80" s="575"/>
      <c r="I80" s="575"/>
      <c r="J80" s="575"/>
      <c r="K80" s="575"/>
      <c r="L80" s="575"/>
      <c r="M80" s="575"/>
      <c r="N80" s="575"/>
      <c r="O80" s="575"/>
      <c r="P80" s="575"/>
      <c r="Q80" s="575"/>
    </row>
    <row r="81" spans="1:18" s="544" customFormat="1" ht="15" customHeight="1">
      <c r="B81" s="538"/>
      <c r="C81" s="539" t="s">
        <v>249</v>
      </c>
      <c r="D81" s="539"/>
      <c r="E81" s="539"/>
      <c r="F81" s="540"/>
      <c r="G81" s="3"/>
      <c r="H81" s="538"/>
      <c r="I81" s="541"/>
      <c r="J81" s="541"/>
      <c r="K81" s="541"/>
      <c r="L81" s="541"/>
      <c r="M81" s="541"/>
      <c r="N81" s="541"/>
      <c r="O81" s="541"/>
      <c r="P81" s="541"/>
      <c r="Q81" s="542"/>
    </row>
    <row r="82" spans="1:18" ht="15" customHeight="1">
      <c r="A82" s="476"/>
      <c r="B82" s="576"/>
      <c r="C82" s="564" t="s">
        <v>255</v>
      </c>
      <c r="D82" s="567"/>
      <c r="E82" s="567"/>
      <c r="F82" s="567"/>
      <c r="H82" s="568">
        <v>5</v>
      </c>
      <c r="I82" s="568">
        <f>H82</f>
        <v>5</v>
      </c>
      <c r="J82" s="568">
        <f>I82</f>
        <v>5</v>
      </c>
      <c r="K82" s="568">
        <f t="shared" ref="K82:K95" si="14">I82</f>
        <v>5</v>
      </c>
      <c r="L82" s="568">
        <f>K82</f>
        <v>5</v>
      </c>
      <c r="M82" s="568">
        <f>L82</f>
        <v>5</v>
      </c>
      <c r="N82" s="568">
        <f>M82</f>
        <v>5</v>
      </c>
      <c r="O82" s="568">
        <f>N82</f>
        <v>5</v>
      </c>
      <c r="P82" s="568">
        <f>O82</f>
        <v>5</v>
      </c>
      <c r="Q82" s="568">
        <f t="shared" ref="Q82:Q95" si="15">IFERROR(ROUND(IF($Q$15="Simples",
INDEX(H82:P82,MATCH($Q$16,$H$16:$P$16,1)),
INDEX(H82:P82,MATCH($Q$15,$H$13:$P$13,0))
),4),"")</f>
        <v>5</v>
      </c>
      <c r="R82" s="506"/>
    </row>
    <row r="83" spans="1:18" ht="15" customHeight="1">
      <c r="A83" s="476"/>
      <c r="B83" s="576"/>
      <c r="C83" s="564" t="s">
        <v>256</v>
      </c>
      <c r="D83" s="567"/>
      <c r="E83" s="567"/>
      <c r="F83" s="567"/>
      <c r="H83" s="568">
        <v>5</v>
      </c>
      <c r="I83" s="568">
        <f t="shared" ref="I83:P95" si="16">H83</f>
        <v>5</v>
      </c>
      <c r="J83" s="568">
        <f t="shared" si="16"/>
        <v>5</v>
      </c>
      <c r="K83" s="568">
        <f t="shared" si="14"/>
        <v>5</v>
      </c>
      <c r="L83" s="568">
        <f t="shared" si="16"/>
        <v>5</v>
      </c>
      <c r="M83" s="568">
        <f t="shared" si="16"/>
        <v>5</v>
      </c>
      <c r="N83" s="568">
        <f t="shared" si="16"/>
        <v>5</v>
      </c>
      <c r="O83" s="568">
        <f t="shared" si="16"/>
        <v>5</v>
      </c>
      <c r="P83" s="568">
        <f t="shared" si="16"/>
        <v>5</v>
      </c>
      <c r="Q83" s="568">
        <f t="shared" si="15"/>
        <v>5</v>
      </c>
      <c r="R83" s="506"/>
    </row>
    <row r="84" spans="1:18" ht="15" customHeight="1">
      <c r="A84" s="476"/>
      <c r="B84" s="576"/>
      <c r="C84" s="564" t="s">
        <v>257</v>
      </c>
      <c r="D84" s="577"/>
      <c r="E84" s="577"/>
      <c r="F84" s="577"/>
      <c r="H84" s="547">
        <v>1.4999999999999999E-2</v>
      </c>
      <c r="I84" s="547">
        <f t="shared" si="16"/>
        <v>1.4999999999999999E-2</v>
      </c>
      <c r="J84" s="547">
        <f t="shared" si="16"/>
        <v>1.4999999999999999E-2</v>
      </c>
      <c r="K84" s="547">
        <f t="shared" si="14"/>
        <v>1.4999999999999999E-2</v>
      </c>
      <c r="L84" s="547">
        <f t="shared" si="16"/>
        <v>1.4999999999999999E-2</v>
      </c>
      <c r="M84" s="547">
        <f t="shared" si="16"/>
        <v>1.4999999999999999E-2</v>
      </c>
      <c r="N84" s="547">
        <f t="shared" si="16"/>
        <v>1.4999999999999999E-2</v>
      </c>
      <c r="O84" s="547">
        <f t="shared" si="16"/>
        <v>1.4999999999999999E-2</v>
      </c>
      <c r="P84" s="547">
        <f t="shared" si="16"/>
        <v>1.4999999999999999E-2</v>
      </c>
      <c r="Q84" s="547">
        <f t="shared" si="15"/>
        <v>1.4999999999999999E-2</v>
      </c>
      <c r="R84" s="506"/>
    </row>
    <row r="85" spans="1:18" ht="15" customHeight="1">
      <c r="A85" s="476"/>
      <c r="B85" s="576"/>
      <c r="C85" s="564" t="s">
        <v>258</v>
      </c>
      <c r="D85" s="578"/>
      <c r="E85" s="578"/>
      <c r="F85" s="578"/>
      <c r="H85" s="579">
        <v>2.96</v>
      </c>
      <c r="I85" s="579">
        <f t="shared" si="16"/>
        <v>2.96</v>
      </c>
      <c r="J85" s="579">
        <f t="shared" si="16"/>
        <v>2.96</v>
      </c>
      <c r="K85" s="579">
        <f t="shared" si="14"/>
        <v>2.96</v>
      </c>
      <c r="L85" s="579">
        <f t="shared" si="16"/>
        <v>2.96</v>
      </c>
      <c r="M85" s="579">
        <f t="shared" si="16"/>
        <v>2.96</v>
      </c>
      <c r="N85" s="579">
        <f t="shared" si="16"/>
        <v>2.96</v>
      </c>
      <c r="O85" s="579">
        <f t="shared" si="16"/>
        <v>2.96</v>
      </c>
      <c r="P85" s="579">
        <f t="shared" si="16"/>
        <v>2.96</v>
      </c>
      <c r="Q85" s="579">
        <f t="shared" si="15"/>
        <v>2.96</v>
      </c>
      <c r="R85" s="506"/>
    </row>
    <row r="86" spans="1:18" ht="15" customHeight="1">
      <c r="A86" s="476"/>
      <c r="B86" s="576"/>
      <c r="C86" s="564" t="s">
        <v>259</v>
      </c>
      <c r="D86" s="577"/>
      <c r="E86" s="577"/>
      <c r="F86" s="577"/>
      <c r="H86" s="547">
        <v>7.7999999999999996E-3</v>
      </c>
      <c r="I86" s="547">
        <f t="shared" si="16"/>
        <v>7.7999999999999996E-3</v>
      </c>
      <c r="J86" s="547">
        <f t="shared" si="16"/>
        <v>7.7999999999999996E-3</v>
      </c>
      <c r="K86" s="547">
        <f t="shared" si="14"/>
        <v>7.7999999999999996E-3</v>
      </c>
      <c r="L86" s="547">
        <f t="shared" si="16"/>
        <v>7.7999999999999996E-3</v>
      </c>
      <c r="M86" s="547">
        <f t="shared" si="16"/>
        <v>7.7999999999999996E-3</v>
      </c>
      <c r="N86" s="547">
        <f t="shared" si="16"/>
        <v>7.7999999999999996E-3</v>
      </c>
      <c r="O86" s="547">
        <f t="shared" si="16"/>
        <v>7.7999999999999996E-3</v>
      </c>
      <c r="P86" s="547">
        <f t="shared" si="16"/>
        <v>7.7999999999999996E-3</v>
      </c>
      <c r="Q86" s="547">
        <f t="shared" si="15"/>
        <v>7.7999999999999996E-3</v>
      </c>
      <c r="R86" s="506"/>
    </row>
    <row r="87" spans="1:18" ht="15" customHeight="1">
      <c r="A87" s="476"/>
      <c r="B87" s="576"/>
      <c r="C87" s="564" t="s">
        <v>260</v>
      </c>
      <c r="D87" s="567"/>
      <c r="E87" s="567"/>
      <c r="F87" s="567"/>
      <c r="H87" s="568">
        <v>15</v>
      </c>
      <c r="I87" s="568">
        <f t="shared" si="16"/>
        <v>15</v>
      </c>
      <c r="J87" s="568">
        <f t="shared" si="16"/>
        <v>15</v>
      </c>
      <c r="K87" s="568">
        <f t="shared" si="14"/>
        <v>15</v>
      </c>
      <c r="L87" s="568">
        <f t="shared" si="16"/>
        <v>15</v>
      </c>
      <c r="M87" s="568">
        <f t="shared" si="16"/>
        <v>15</v>
      </c>
      <c r="N87" s="568">
        <f t="shared" si="16"/>
        <v>15</v>
      </c>
      <c r="O87" s="568">
        <f t="shared" si="16"/>
        <v>15</v>
      </c>
      <c r="P87" s="568">
        <f t="shared" si="16"/>
        <v>15</v>
      </c>
      <c r="Q87" s="568">
        <f t="shared" si="15"/>
        <v>15</v>
      </c>
      <c r="R87" s="506"/>
    </row>
    <row r="88" spans="1:18" ht="15" customHeight="1">
      <c r="A88" s="476"/>
      <c r="B88" s="576"/>
      <c r="C88" s="564" t="s">
        <v>261</v>
      </c>
      <c r="D88" s="580"/>
      <c r="E88" s="580"/>
      <c r="F88" s="580"/>
      <c r="H88" s="581">
        <v>4</v>
      </c>
      <c r="I88" s="581">
        <f t="shared" si="16"/>
        <v>4</v>
      </c>
      <c r="J88" s="581">
        <f t="shared" si="16"/>
        <v>4</v>
      </c>
      <c r="K88" s="581">
        <f t="shared" si="14"/>
        <v>4</v>
      </c>
      <c r="L88" s="581">
        <f t="shared" si="16"/>
        <v>4</v>
      </c>
      <c r="M88" s="581">
        <f t="shared" si="16"/>
        <v>4</v>
      </c>
      <c r="N88" s="581">
        <f t="shared" si="16"/>
        <v>4</v>
      </c>
      <c r="O88" s="581">
        <f t="shared" si="16"/>
        <v>4</v>
      </c>
      <c r="P88" s="581">
        <f t="shared" si="16"/>
        <v>4</v>
      </c>
      <c r="Q88" s="581">
        <f t="shared" si="15"/>
        <v>4</v>
      </c>
      <c r="R88" s="506"/>
    </row>
    <row r="89" spans="1:18" ht="15" customHeight="1">
      <c r="A89" s="476"/>
      <c r="B89" s="576"/>
      <c r="C89" s="564" t="s">
        <v>262</v>
      </c>
      <c r="D89" s="577"/>
      <c r="E89" s="577"/>
      <c r="F89" s="577"/>
      <c r="H89" s="547">
        <f>H88/12</f>
        <v>0.33333333333333331</v>
      </c>
      <c r="I89" s="547">
        <f t="shared" si="16"/>
        <v>0.33333333333333331</v>
      </c>
      <c r="J89" s="547">
        <f t="shared" si="16"/>
        <v>0.33333333333333331</v>
      </c>
      <c r="K89" s="547">
        <f t="shared" si="14"/>
        <v>0.33333333333333331</v>
      </c>
      <c r="L89" s="547">
        <f t="shared" si="16"/>
        <v>0.33333333333333331</v>
      </c>
      <c r="M89" s="547">
        <f t="shared" si="16"/>
        <v>0.33333333333333331</v>
      </c>
      <c r="N89" s="547">
        <f t="shared" si="16"/>
        <v>0.33333333333333331</v>
      </c>
      <c r="O89" s="547">
        <f t="shared" si="16"/>
        <v>0.33333333333333331</v>
      </c>
      <c r="P89" s="547">
        <f t="shared" si="16"/>
        <v>0.33333333333333331</v>
      </c>
      <c r="Q89" s="547">
        <f t="shared" si="15"/>
        <v>0.33329999999999999</v>
      </c>
      <c r="R89" s="506"/>
    </row>
    <row r="90" spans="1:18" ht="15" customHeight="1">
      <c r="A90" s="476"/>
      <c r="B90" s="576"/>
      <c r="C90" s="564" t="s">
        <v>263</v>
      </c>
      <c r="D90" s="582"/>
      <c r="E90" s="582"/>
      <c r="F90" s="582"/>
      <c r="H90" s="583">
        <v>2820968</v>
      </c>
      <c r="I90" s="583">
        <f t="shared" si="16"/>
        <v>2820968</v>
      </c>
      <c r="J90" s="583">
        <f t="shared" si="16"/>
        <v>2820968</v>
      </c>
      <c r="K90" s="583">
        <f t="shared" si="14"/>
        <v>2820968</v>
      </c>
      <c r="L90" s="583">
        <f t="shared" si="16"/>
        <v>2820968</v>
      </c>
      <c r="M90" s="583">
        <f t="shared" si="16"/>
        <v>2820968</v>
      </c>
      <c r="N90" s="583">
        <f t="shared" si="16"/>
        <v>2820968</v>
      </c>
      <c r="O90" s="583">
        <f t="shared" si="16"/>
        <v>2820968</v>
      </c>
      <c r="P90" s="583">
        <f t="shared" si="16"/>
        <v>2820968</v>
      </c>
      <c r="Q90" s="583">
        <f t="shared" si="15"/>
        <v>2820968</v>
      </c>
      <c r="R90" s="506"/>
    </row>
    <row r="91" spans="1:18" ht="15" customHeight="1">
      <c r="A91" s="476"/>
      <c r="B91" s="576"/>
      <c r="C91" s="564" t="s">
        <v>264</v>
      </c>
      <c r="D91" s="582"/>
      <c r="E91" s="582"/>
      <c r="F91" s="582"/>
      <c r="H91" s="583">
        <v>1303632</v>
      </c>
      <c r="I91" s="583">
        <f t="shared" si="16"/>
        <v>1303632</v>
      </c>
      <c r="J91" s="583">
        <f t="shared" si="16"/>
        <v>1303632</v>
      </c>
      <c r="K91" s="583">
        <f t="shared" si="14"/>
        <v>1303632</v>
      </c>
      <c r="L91" s="583">
        <f t="shared" si="16"/>
        <v>1303632</v>
      </c>
      <c r="M91" s="583">
        <f t="shared" si="16"/>
        <v>1303632</v>
      </c>
      <c r="N91" s="583">
        <f t="shared" si="16"/>
        <v>1303632</v>
      </c>
      <c r="O91" s="583">
        <f t="shared" si="16"/>
        <v>1303632</v>
      </c>
      <c r="P91" s="583">
        <f t="shared" si="16"/>
        <v>1303632</v>
      </c>
      <c r="Q91" s="583">
        <f t="shared" si="15"/>
        <v>1303632</v>
      </c>
      <c r="R91" s="506"/>
    </row>
    <row r="92" spans="1:18" ht="15" customHeight="1">
      <c r="A92" s="476"/>
      <c r="B92" s="576"/>
      <c r="C92" s="564" t="s">
        <v>265</v>
      </c>
      <c r="D92" s="582"/>
      <c r="E92" s="582"/>
      <c r="F92" s="582"/>
      <c r="H92" s="583">
        <v>52313</v>
      </c>
      <c r="I92" s="583">
        <f t="shared" si="16"/>
        <v>52313</v>
      </c>
      <c r="J92" s="583">
        <f t="shared" si="16"/>
        <v>52313</v>
      </c>
      <c r="K92" s="583">
        <f t="shared" si="14"/>
        <v>52313</v>
      </c>
      <c r="L92" s="583">
        <f t="shared" si="16"/>
        <v>52313</v>
      </c>
      <c r="M92" s="583">
        <f t="shared" si="16"/>
        <v>52313</v>
      </c>
      <c r="N92" s="583">
        <f t="shared" si="16"/>
        <v>52313</v>
      </c>
      <c r="O92" s="583">
        <f t="shared" si="16"/>
        <v>52313</v>
      </c>
      <c r="P92" s="583">
        <f t="shared" si="16"/>
        <v>52313</v>
      </c>
      <c r="Q92" s="583">
        <f t="shared" si="15"/>
        <v>52313</v>
      </c>
      <c r="R92" s="506"/>
    </row>
    <row r="93" spans="1:18" ht="15" customHeight="1">
      <c r="A93" s="476"/>
      <c r="B93" s="576"/>
      <c r="C93" s="564" t="s">
        <v>266</v>
      </c>
      <c r="D93" s="577"/>
      <c r="E93" s="577"/>
      <c r="F93" s="577"/>
      <c r="H93" s="547">
        <f>H92/H91</f>
        <v>4.012865593971305E-2</v>
      </c>
      <c r="I93" s="547">
        <f t="shared" si="16"/>
        <v>4.012865593971305E-2</v>
      </c>
      <c r="J93" s="547">
        <f t="shared" si="16"/>
        <v>4.012865593971305E-2</v>
      </c>
      <c r="K93" s="547">
        <f t="shared" si="14"/>
        <v>4.012865593971305E-2</v>
      </c>
      <c r="L93" s="547">
        <f t="shared" si="16"/>
        <v>4.012865593971305E-2</v>
      </c>
      <c r="M93" s="547">
        <f t="shared" si="16"/>
        <v>4.012865593971305E-2</v>
      </c>
      <c r="N93" s="547">
        <f t="shared" si="16"/>
        <v>4.012865593971305E-2</v>
      </c>
      <c r="O93" s="547">
        <f t="shared" si="16"/>
        <v>4.012865593971305E-2</v>
      </c>
      <c r="P93" s="547">
        <f t="shared" si="16"/>
        <v>4.012865593971305E-2</v>
      </c>
      <c r="Q93" s="547">
        <f t="shared" si="15"/>
        <v>4.0099999999999997E-2</v>
      </c>
      <c r="R93" s="506"/>
    </row>
    <row r="94" spans="1:18" ht="15" customHeight="1">
      <c r="A94" s="476"/>
      <c r="B94" s="576"/>
      <c r="C94" s="564" t="s">
        <v>267</v>
      </c>
      <c r="D94" s="565"/>
      <c r="E94" s="565"/>
      <c r="F94" s="565"/>
      <c r="H94" s="566">
        <f>H91/H90</f>
        <v>0.46212222187561147</v>
      </c>
      <c r="I94" s="566">
        <f t="shared" si="16"/>
        <v>0.46212222187561147</v>
      </c>
      <c r="J94" s="566">
        <f t="shared" si="16"/>
        <v>0.46212222187561147</v>
      </c>
      <c r="K94" s="566">
        <f t="shared" si="14"/>
        <v>0.46212222187561147</v>
      </c>
      <c r="L94" s="566">
        <f t="shared" si="16"/>
        <v>0.46212222187561147</v>
      </c>
      <c r="M94" s="566">
        <f t="shared" si="16"/>
        <v>0.46212222187561147</v>
      </c>
      <c r="N94" s="566">
        <f t="shared" si="16"/>
        <v>0.46212222187561147</v>
      </c>
      <c r="O94" s="566">
        <f t="shared" si="16"/>
        <v>0.46212222187561147</v>
      </c>
      <c r="P94" s="566">
        <f t="shared" si="16"/>
        <v>0.46212222187561147</v>
      </c>
      <c r="Q94" s="566">
        <f t="shared" si="15"/>
        <v>0.46210000000000001</v>
      </c>
      <c r="R94" s="506"/>
    </row>
    <row r="95" spans="1:18" ht="15" customHeight="1">
      <c r="A95" s="476"/>
      <c r="B95" s="576"/>
      <c r="C95" s="564" t="s">
        <v>269</v>
      </c>
      <c r="D95" s="577"/>
      <c r="E95" s="577"/>
      <c r="F95" s="577"/>
      <c r="H95" s="547">
        <f>H89*H93*H94</f>
        <v>6.181447881247382E-3</v>
      </c>
      <c r="I95" s="547">
        <f t="shared" si="16"/>
        <v>6.181447881247382E-3</v>
      </c>
      <c r="J95" s="547">
        <f t="shared" si="16"/>
        <v>6.181447881247382E-3</v>
      </c>
      <c r="K95" s="547">
        <f t="shared" si="14"/>
        <v>6.181447881247382E-3</v>
      </c>
      <c r="L95" s="547">
        <f t="shared" si="16"/>
        <v>6.181447881247382E-3</v>
      </c>
      <c r="M95" s="547">
        <f t="shared" si="16"/>
        <v>6.181447881247382E-3</v>
      </c>
      <c r="N95" s="547">
        <f t="shared" si="16"/>
        <v>6.181447881247382E-3</v>
      </c>
      <c r="O95" s="547">
        <f t="shared" si="16"/>
        <v>6.181447881247382E-3</v>
      </c>
      <c r="P95" s="547">
        <f t="shared" si="16"/>
        <v>6.181447881247382E-3</v>
      </c>
      <c r="Q95" s="547">
        <f t="shared" si="15"/>
        <v>6.1999999999999998E-3</v>
      </c>
      <c r="R95" s="506"/>
    </row>
    <row r="96" spans="1:18" ht="3.75" customHeight="1">
      <c r="B96" s="584"/>
      <c r="C96" s="585"/>
      <c r="D96" s="586"/>
      <c r="E96" s="586"/>
      <c r="F96" s="586"/>
      <c r="H96" s="571"/>
      <c r="I96" s="571"/>
      <c r="J96" s="571"/>
      <c r="K96" s="571"/>
      <c r="L96" s="571"/>
      <c r="M96" s="571"/>
      <c r="N96" s="571"/>
      <c r="O96" s="571"/>
      <c r="P96" s="571"/>
      <c r="Q96" s="571"/>
    </row>
    <row r="97" spans="1:18" s="544" customFormat="1" ht="15" customHeight="1">
      <c r="B97" s="538"/>
      <c r="C97" s="539" t="s">
        <v>216</v>
      </c>
      <c r="D97" s="539"/>
      <c r="E97" s="539"/>
      <c r="F97" s="540"/>
      <c r="G97" s="3"/>
      <c r="H97" s="538"/>
      <c r="I97" s="541"/>
      <c r="J97" s="541"/>
      <c r="K97" s="541"/>
      <c r="L97" s="541"/>
      <c r="M97" s="541"/>
      <c r="N97" s="541"/>
      <c r="O97" s="541"/>
      <c r="P97" s="541"/>
      <c r="Q97" s="542"/>
    </row>
    <row r="98" spans="1:18" ht="15" customHeight="1">
      <c r="A98" s="476"/>
      <c r="B98" s="484" t="s">
        <v>2</v>
      </c>
      <c r="C98" s="485" t="s">
        <v>36</v>
      </c>
      <c r="D98" s="522" t="s">
        <v>559</v>
      </c>
      <c r="E98" s="523" t="s">
        <v>121</v>
      </c>
      <c r="F98" s="523" t="s">
        <v>364</v>
      </c>
      <c r="H98" s="547">
        <f>((1/12)/12)+((1/12)/12)+((1/3)*((1/12)/12))</f>
        <v>1.6203703703703703E-2</v>
      </c>
      <c r="I98" s="547">
        <f>H98</f>
        <v>1.6203703703703703E-2</v>
      </c>
      <c r="J98" s="547">
        <f>I98</f>
        <v>1.6203703703703703E-2</v>
      </c>
      <c r="K98" s="547">
        <f t="shared" ref="K98:K106" si="17">I98</f>
        <v>1.6203703703703703E-2</v>
      </c>
      <c r="L98" s="547">
        <f>K98</f>
        <v>1.6203703703703703E-2</v>
      </c>
      <c r="M98" s="547">
        <f>L98</f>
        <v>1.6203703703703703E-2</v>
      </c>
      <c r="N98" s="547">
        <f>M98</f>
        <v>1.6203703703703703E-2</v>
      </c>
      <c r="O98" s="547">
        <f>N98</f>
        <v>1.6203703703703703E-2</v>
      </c>
      <c r="P98" s="547">
        <f>O98</f>
        <v>1.6203703703703703E-2</v>
      </c>
      <c r="Q98" s="547">
        <f t="shared" ref="Q98:Q106" si="18">IFERROR(ROUND(IF($Q$15="Simples",
INDEX(H98:P98,MATCH($Q$16,$H$16:$P$16,1)),
INDEX(H98:P98,MATCH($Q$15,$H$13:$P$13,0))
),4),"")</f>
        <v>1.6199999999999999E-2</v>
      </c>
      <c r="R98" s="506"/>
    </row>
    <row r="99" spans="1:18" ht="15" customHeight="1">
      <c r="A99" s="476"/>
      <c r="B99" s="484" t="s">
        <v>1</v>
      </c>
      <c r="C99" s="485" t="s">
        <v>238</v>
      </c>
      <c r="D99" s="522" t="s">
        <v>210</v>
      </c>
      <c r="E99" s="523" t="s">
        <v>122</v>
      </c>
      <c r="F99" s="523" t="s">
        <v>365</v>
      </c>
      <c r="H99" s="547">
        <f>(H82/$D$5)/$D$8</f>
        <v>1.3888888888888888E-2</v>
      </c>
      <c r="I99" s="547">
        <f t="shared" ref="I99:P106" si="19">H99</f>
        <v>1.3888888888888888E-2</v>
      </c>
      <c r="J99" s="547">
        <f t="shared" si="19"/>
        <v>1.3888888888888888E-2</v>
      </c>
      <c r="K99" s="547">
        <f t="shared" si="17"/>
        <v>1.3888888888888888E-2</v>
      </c>
      <c r="L99" s="547">
        <f t="shared" si="19"/>
        <v>1.3888888888888888E-2</v>
      </c>
      <c r="M99" s="547">
        <f t="shared" si="19"/>
        <v>1.3888888888888888E-2</v>
      </c>
      <c r="N99" s="547">
        <f t="shared" si="19"/>
        <v>1.3888888888888888E-2</v>
      </c>
      <c r="O99" s="547">
        <f t="shared" si="19"/>
        <v>1.3888888888888888E-2</v>
      </c>
      <c r="P99" s="547">
        <f t="shared" si="19"/>
        <v>1.3888888888888888E-2</v>
      </c>
      <c r="Q99" s="547">
        <f t="shared" si="18"/>
        <v>1.3899999999999999E-2</v>
      </c>
      <c r="R99" s="506"/>
    </row>
    <row r="100" spans="1:18" ht="15" customHeight="1">
      <c r="A100" s="476"/>
      <c r="B100" s="484" t="s">
        <v>0</v>
      </c>
      <c r="C100" s="485" t="s">
        <v>37</v>
      </c>
      <c r="D100" s="522" t="s">
        <v>211</v>
      </c>
      <c r="E100" s="523" t="s">
        <v>123</v>
      </c>
      <c r="F100" s="523" t="s">
        <v>366</v>
      </c>
      <c r="H100" s="547">
        <f>((H83/$D$5)/$D$8*H84)</f>
        <v>2.0833333333333332E-4</v>
      </c>
      <c r="I100" s="547">
        <f t="shared" si="19"/>
        <v>2.0833333333333332E-4</v>
      </c>
      <c r="J100" s="547">
        <f t="shared" si="19"/>
        <v>2.0833333333333332E-4</v>
      </c>
      <c r="K100" s="547">
        <f t="shared" si="17"/>
        <v>2.0833333333333332E-4</v>
      </c>
      <c r="L100" s="547">
        <f t="shared" si="19"/>
        <v>2.0833333333333332E-4</v>
      </c>
      <c r="M100" s="547">
        <f t="shared" si="19"/>
        <v>2.0833333333333332E-4</v>
      </c>
      <c r="N100" s="547">
        <f t="shared" si="19"/>
        <v>2.0833333333333332E-4</v>
      </c>
      <c r="O100" s="547">
        <f t="shared" si="19"/>
        <v>2.0833333333333332E-4</v>
      </c>
      <c r="P100" s="547">
        <f t="shared" si="19"/>
        <v>2.0833333333333332E-4</v>
      </c>
      <c r="Q100" s="547">
        <f t="shared" si="18"/>
        <v>2.0000000000000001E-4</v>
      </c>
      <c r="R100" s="506"/>
    </row>
    <row r="101" spans="1:18" ht="15" customHeight="1">
      <c r="A101" s="476"/>
      <c r="B101" s="484" t="s">
        <v>3</v>
      </c>
      <c r="C101" s="485" t="s">
        <v>38</v>
      </c>
      <c r="D101" s="522" t="s">
        <v>212</v>
      </c>
      <c r="E101" s="523" t="s">
        <v>124</v>
      </c>
      <c r="F101" s="523" t="s">
        <v>367</v>
      </c>
      <c r="H101" s="547">
        <f>H85/$D$5/$D$8</f>
        <v>8.2222222222222228E-3</v>
      </c>
      <c r="I101" s="547">
        <f t="shared" si="19"/>
        <v>8.2222222222222228E-3</v>
      </c>
      <c r="J101" s="547">
        <f t="shared" si="19"/>
        <v>8.2222222222222228E-3</v>
      </c>
      <c r="K101" s="547">
        <f t="shared" si="17"/>
        <v>8.2222222222222228E-3</v>
      </c>
      <c r="L101" s="547">
        <f t="shared" si="19"/>
        <v>8.2222222222222228E-3</v>
      </c>
      <c r="M101" s="547">
        <f t="shared" si="19"/>
        <v>8.2222222222222228E-3</v>
      </c>
      <c r="N101" s="547">
        <f t="shared" si="19"/>
        <v>8.2222222222222228E-3</v>
      </c>
      <c r="O101" s="547">
        <f t="shared" si="19"/>
        <v>8.2222222222222228E-3</v>
      </c>
      <c r="P101" s="547">
        <f t="shared" si="19"/>
        <v>8.2222222222222228E-3</v>
      </c>
      <c r="Q101" s="547">
        <f t="shared" si="18"/>
        <v>8.2000000000000007E-3</v>
      </c>
      <c r="R101" s="506"/>
    </row>
    <row r="102" spans="1:18" ht="15" customHeight="1">
      <c r="A102" s="476"/>
      <c r="B102" s="484" t="s">
        <v>7</v>
      </c>
      <c r="C102" s="485" t="s">
        <v>239</v>
      </c>
      <c r="D102" s="522" t="s">
        <v>213</v>
      </c>
      <c r="E102" s="523" t="s">
        <v>125</v>
      </c>
      <c r="F102" s="523" t="s">
        <v>368</v>
      </c>
      <c r="H102" s="547">
        <f>(H87/$D$5/$D$8)*H86</f>
        <v>3.2499999999999999E-4</v>
      </c>
      <c r="I102" s="547">
        <f t="shared" si="19"/>
        <v>3.2499999999999999E-4</v>
      </c>
      <c r="J102" s="547">
        <f t="shared" si="19"/>
        <v>3.2499999999999999E-4</v>
      </c>
      <c r="K102" s="547">
        <f t="shared" si="17"/>
        <v>3.2499999999999999E-4</v>
      </c>
      <c r="L102" s="547">
        <f t="shared" si="19"/>
        <v>3.2499999999999999E-4</v>
      </c>
      <c r="M102" s="547">
        <f t="shared" si="19"/>
        <v>3.2499999999999999E-4</v>
      </c>
      <c r="N102" s="547">
        <f t="shared" si="19"/>
        <v>3.2499999999999999E-4</v>
      </c>
      <c r="O102" s="547">
        <f t="shared" si="19"/>
        <v>3.2499999999999999E-4</v>
      </c>
      <c r="P102" s="547">
        <f t="shared" si="19"/>
        <v>3.2499999999999999E-4</v>
      </c>
      <c r="Q102" s="547">
        <f t="shared" si="18"/>
        <v>2.9999999999999997E-4</v>
      </c>
      <c r="R102" s="506"/>
    </row>
    <row r="103" spans="1:18" ht="15" customHeight="1">
      <c r="A103" s="476"/>
      <c r="B103" s="484" t="s">
        <v>6</v>
      </c>
      <c r="C103" s="485" t="s">
        <v>39</v>
      </c>
      <c r="D103" s="522" t="s">
        <v>214</v>
      </c>
      <c r="E103" s="523" t="s">
        <v>126</v>
      </c>
      <c r="F103" s="523" t="s">
        <v>369</v>
      </c>
      <c r="H103" s="547">
        <f>((1/12)+((1/3)*(1/12)))*H95</f>
        <v>6.868275423608202E-4</v>
      </c>
      <c r="I103" s="547">
        <f t="shared" si="19"/>
        <v>6.868275423608202E-4</v>
      </c>
      <c r="J103" s="547">
        <f t="shared" si="19"/>
        <v>6.868275423608202E-4</v>
      </c>
      <c r="K103" s="547">
        <f t="shared" si="17"/>
        <v>6.868275423608202E-4</v>
      </c>
      <c r="L103" s="547">
        <f t="shared" si="19"/>
        <v>6.868275423608202E-4</v>
      </c>
      <c r="M103" s="547">
        <f t="shared" si="19"/>
        <v>6.868275423608202E-4</v>
      </c>
      <c r="N103" s="547">
        <f t="shared" si="19"/>
        <v>6.868275423608202E-4</v>
      </c>
      <c r="O103" s="547">
        <f t="shared" si="19"/>
        <v>6.868275423608202E-4</v>
      </c>
      <c r="P103" s="547">
        <f t="shared" si="19"/>
        <v>6.868275423608202E-4</v>
      </c>
      <c r="Q103" s="547">
        <f t="shared" si="18"/>
        <v>6.9999999999999999E-4</v>
      </c>
      <c r="R103" s="506"/>
    </row>
    <row r="104" spans="1:18" ht="15" customHeight="1">
      <c r="A104" s="476"/>
      <c r="B104" s="484" t="s">
        <v>5</v>
      </c>
      <c r="C104" s="485" t="s">
        <v>94</v>
      </c>
      <c r="D104" s="522" t="s">
        <v>204</v>
      </c>
      <c r="E104" s="523"/>
      <c r="F104" s="523"/>
      <c r="H104" s="587">
        <f>SUM($H$98:$H$103)*H49</f>
        <v>1.4548871054107302E-2</v>
      </c>
      <c r="I104" s="587">
        <f t="shared" si="19"/>
        <v>1.4548871054107302E-2</v>
      </c>
      <c r="J104" s="587">
        <f t="shared" si="19"/>
        <v>1.4548871054107302E-2</v>
      </c>
      <c r="K104" s="587">
        <f t="shared" si="17"/>
        <v>1.4548871054107302E-2</v>
      </c>
      <c r="L104" s="587">
        <f t="shared" si="19"/>
        <v>1.4548871054107302E-2</v>
      </c>
      <c r="M104" s="587">
        <f t="shared" si="19"/>
        <v>1.4548871054107302E-2</v>
      </c>
      <c r="N104" s="587">
        <f t="shared" si="19"/>
        <v>1.4548871054107302E-2</v>
      </c>
      <c r="O104" s="587">
        <f t="shared" si="19"/>
        <v>1.4548871054107302E-2</v>
      </c>
      <c r="P104" s="587">
        <f t="shared" si="19"/>
        <v>1.4548871054107302E-2</v>
      </c>
      <c r="Q104" s="587">
        <f t="shared" si="18"/>
        <v>1.4500000000000001E-2</v>
      </c>
      <c r="R104" s="506"/>
    </row>
    <row r="105" spans="1:18" ht="15" customHeight="1">
      <c r="A105" s="476"/>
      <c r="B105" s="484" t="s">
        <v>4</v>
      </c>
      <c r="C105" s="485" t="s">
        <v>91</v>
      </c>
      <c r="D105" s="522" t="s">
        <v>370</v>
      </c>
      <c r="E105" s="523"/>
      <c r="F105" s="523" t="s">
        <v>203</v>
      </c>
      <c r="H105" s="588">
        <v>37.96</v>
      </c>
      <c r="I105" s="588">
        <f t="shared" si="19"/>
        <v>37.96</v>
      </c>
      <c r="J105" s="588">
        <f t="shared" si="19"/>
        <v>37.96</v>
      </c>
      <c r="K105" s="588">
        <f t="shared" si="17"/>
        <v>37.96</v>
      </c>
      <c r="L105" s="588">
        <f t="shared" si="19"/>
        <v>37.96</v>
      </c>
      <c r="M105" s="588">
        <f t="shared" si="19"/>
        <v>37.96</v>
      </c>
      <c r="N105" s="588">
        <f t="shared" si="19"/>
        <v>37.96</v>
      </c>
      <c r="O105" s="588">
        <f t="shared" si="19"/>
        <v>37.96</v>
      </c>
      <c r="P105" s="588">
        <f t="shared" si="19"/>
        <v>37.96</v>
      </c>
      <c r="Q105" s="589">
        <f t="shared" si="18"/>
        <v>37.96</v>
      </c>
      <c r="R105" s="506"/>
    </row>
    <row r="106" spans="1:18" ht="15" customHeight="1">
      <c r="A106" s="476"/>
      <c r="B106" s="484" t="s">
        <v>141</v>
      </c>
      <c r="C106" s="485" t="s">
        <v>40</v>
      </c>
      <c r="D106" s="522" t="s">
        <v>215</v>
      </c>
      <c r="E106" s="523"/>
      <c r="F106" s="523" t="s">
        <v>223</v>
      </c>
      <c r="H106" s="588">
        <v>37.96</v>
      </c>
      <c r="I106" s="588">
        <f t="shared" si="19"/>
        <v>37.96</v>
      </c>
      <c r="J106" s="588">
        <f t="shared" si="19"/>
        <v>37.96</v>
      </c>
      <c r="K106" s="588">
        <f t="shared" si="17"/>
        <v>37.96</v>
      </c>
      <c r="L106" s="588">
        <f t="shared" si="19"/>
        <v>37.96</v>
      </c>
      <c r="M106" s="588">
        <f t="shared" si="19"/>
        <v>37.96</v>
      </c>
      <c r="N106" s="588">
        <f t="shared" si="19"/>
        <v>37.96</v>
      </c>
      <c r="O106" s="588">
        <f t="shared" si="19"/>
        <v>37.96</v>
      </c>
      <c r="P106" s="588">
        <f t="shared" si="19"/>
        <v>37.96</v>
      </c>
      <c r="Q106" s="589">
        <f t="shared" si="18"/>
        <v>37.96</v>
      </c>
      <c r="R106" s="506"/>
    </row>
    <row r="107" spans="1:18" customFormat="1" ht="3.75" customHeight="1"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8" s="544" customFormat="1" ht="15" customHeight="1">
      <c r="B108" s="538"/>
      <c r="C108" s="539" t="s">
        <v>157</v>
      </c>
      <c r="D108" s="539"/>
      <c r="E108" s="539"/>
      <c r="F108" s="540"/>
      <c r="G108" s="3"/>
      <c r="H108" s="538"/>
      <c r="I108" s="541"/>
      <c r="J108" s="541"/>
      <c r="K108" s="541"/>
      <c r="L108" s="541"/>
      <c r="M108" s="541"/>
      <c r="N108" s="541"/>
      <c r="O108" s="541"/>
      <c r="P108" s="541"/>
      <c r="Q108" s="542"/>
    </row>
    <row r="109" spans="1:18" ht="15" customHeight="1">
      <c r="B109" s="965" t="s">
        <v>2</v>
      </c>
      <c r="C109" s="521" t="s">
        <v>127</v>
      </c>
      <c r="D109" s="522" t="s">
        <v>139</v>
      </c>
      <c r="E109" s="523" t="s">
        <v>131</v>
      </c>
      <c r="F109" s="523" t="s">
        <v>128</v>
      </c>
      <c r="H109" s="588"/>
      <c r="I109" s="588"/>
      <c r="J109" s="588"/>
      <c r="K109" s="588"/>
      <c r="L109" s="588"/>
      <c r="M109" s="588"/>
      <c r="N109" s="588"/>
      <c r="O109" s="588"/>
      <c r="P109" s="588"/>
      <c r="Q109" s="589"/>
      <c r="R109" s="506"/>
    </row>
    <row r="110" spans="1:18" ht="15" customHeight="1">
      <c r="B110" s="966"/>
      <c r="C110" s="521" t="s">
        <v>129</v>
      </c>
      <c r="D110" s="522" t="s">
        <v>140</v>
      </c>
      <c r="E110" s="523" t="s">
        <v>131</v>
      </c>
      <c r="F110" s="523" t="s">
        <v>130</v>
      </c>
      <c r="H110" s="588"/>
      <c r="I110" s="588"/>
      <c r="J110" s="588"/>
      <c r="K110" s="588"/>
      <c r="L110" s="588"/>
      <c r="M110" s="588"/>
      <c r="N110" s="588"/>
      <c r="O110" s="588"/>
      <c r="P110" s="588"/>
      <c r="Q110" s="589"/>
      <c r="R110" s="506"/>
    </row>
    <row r="111" spans="1:18" ht="15" customHeight="1">
      <c r="B111" s="590"/>
      <c r="C111" s="591"/>
      <c r="D111" s="592"/>
      <c r="E111" s="593"/>
      <c r="F111" s="59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/>
    </row>
    <row r="112" spans="1:18" s="3" customFormat="1" ht="15" customHeight="1">
      <c r="B112" s="477"/>
      <c r="C112" s="517" t="s">
        <v>414</v>
      </c>
      <c r="D112" s="517"/>
      <c r="E112" s="517"/>
      <c r="F112" s="517"/>
      <c r="G112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</row>
    <row r="113" spans="1:18" ht="5.2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506"/>
    </row>
    <row r="114" spans="1:18" ht="15" customHeight="1">
      <c r="A114" s="476"/>
      <c r="B114" s="538"/>
      <c r="C114" s="539" t="s">
        <v>415</v>
      </c>
      <c r="D114" s="539"/>
      <c r="E114" s="539"/>
      <c r="F114" s="540"/>
      <c r="G114"/>
      <c r="H114" s="594"/>
      <c r="I114" s="539"/>
      <c r="J114" s="539"/>
      <c r="K114" s="539"/>
      <c r="L114" s="539"/>
      <c r="M114" s="539"/>
      <c r="N114" s="539"/>
      <c r="O114" s="539"/>
      <c r="P114" s="539"/>
      <c r="Q114" s="540"/>
      <c r="R114" s="506"/>
    </row>
    <row r="115" spans="1:18" ht="15" customHeight="1">
      <c r="B115" s="595" t="s">
        <v>2</v>
      </c>
      <c r="C115" s="596" t="s">
        <v>275</v>
      </c>
      <c r="D115" s="597"/>
      <c r="E115" s="597"/>
      <c r="F115" s="597"/>
      <c r="G115"/>
      <c r="H115" s="597"/>
      <c r="I115" s="597"/>
      <c r="J115" s="597"/>
      <c r="K115" s="597"/>
      <c r="L115" s="597"/>
      <c r="M115" s="597"/>
      <c r="N115" s="597"/>
      <c r="O115" s="597"/>
      <c r="P115" s="597"/>
      <c r="Q115" s="597"/>
      <c r="R115" s="506"/>
    </row>
    <row r="116" spans="1:18" ht="15" customHeight="1">
      <c r="B116" s="595" t="s">
        <v>1</v>
      </c>
      <c r="C116" s="596" t="s">
        <v>276</v>
      </c>
      <c r="D116" s="597"/>
      <c r="E116" s="597"/>
      <c r="F116" s="485" t="s">
        <v>488</v>
      </c>
      <c r="G116"/>
      <c r="H116" s="597"/>
      <c r="I116" s="597"/>
      <c r="J116" s="597"/>
      <c r="K116" s="597"/>
      <c r="L116" s="597"/>
      <c r="M116" s="597"/>
      <c r="N116" s="597"/>
      <c r="O116" s="597"/>
      <c r="P116" s="597"/>
      <c r="Q116" s="597"/>
      <c r="R116" s="506"/>
    </row>
    <row r="117" spans="1:18" ht="5.2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506"/>
    </row>
    <row r="118" spans="1:18" ht="5.25" customHeight="1">
      <c r="B118" s="291"/>
      <c r="C118" s="291"/>
      <c r="D118" s="291"/>
      <c r="E118" s="291"/>
      <c r="F118" s="291"/>
      <c r="G118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506"/>
    </row>
    <row r="119" spans="1:18" ht="15" customHeight="1">
      <c r="A119" s="476"/>
      <c r="B119" s="538"/>
      <c r="C119" s="539" t="s">
        <v>416</v>
      </c>
      <c r="D119" s="539"/>
      <c r="E119" s="539"/>
      <c r="F119" s="540"/>
      <c r="G119"/>
      <c r="H119" s="594"/>
      <c r="I119" s="539"/>
      <c r="J119" s="539"/>
      <c r="K119" s="539"/>
      <c r="L119" s="539"/>
      <c r="M119" s="539"/>
      <c r="N119" s="539"/>
      <c r="O119" s="539"/>
      <c r="P119" s="539"/>
      <c r="Q119" s="540"/>
      <c r="R119" s="506"/>
    </row>
    <row r="120" spans="1:18" ht="15" customHeight="1">
      <c r="B120" s="598" t="s">
        <v>420</v>
      </c>
      <c r="C120" s="599" t="s">
        <v>320</v>
      </c>
      <c r="D120" s="600"/>
      <c r="E120" s="600"/>
      <c r="F120" s="600"/>
      <c r="G120"/>
      <c r="H120" s="600"/>
      <c r="I120" s="600"/>
      <c r="J120" s="600"/>
      <c r="K120" s="600"/>
      <c r="L120" s="600"/>
      <c r="M120" s="600"/>
      <c r="N120" s="600"/>
      <c r="O120" s="600"/>
      <c r="P120" s="600"/>
      <c r="Q120" s="600"/>
      <c r="R120" s="506"/>
    </row>
    <row r="121" spans="1:18" ht="15" customHeight="1">
      <c r="B121" s="601" t="s">
        <v>421</v>
      </c>
      <c r="C121" s="602" t="s">
        <v>319</v>
      </c>
      <c r="D121" s="603"/>
      <c r="E121" s="603"/>
      <c r="F121" s="603"/>
      <c r="G121"/>
      <c r="H121" s="603"/>
      <c r="I121" s="603"/>
      <c r="J121" s="603"/>
      <c r="K121" s="603"/>
      <c r="L121" s="603"/>
      <c r="M121" s="603"/>
      <c r="N121" s="603"/>
      <c r="O121" s="603"/>
      <c r="P121" s="603"/>
      <c r="Q121" s="603"/>
      <c r="R121" s="506"/>
    </row>
    <row r="122" spans="1:18" ht="15" customHeight="1">
      <c r="B122" s="604" t="s">
        <v>422</v>
      </c>
      <c r="C122" s="605" t="s">
        <v>419</v>
      </c>
      <c r="D122" s="603"/>
      <c r="E122" s="603"/>
      <c r="F122" s="603"/>
      <c r="G122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506"/>
    </row>
    <row r="123" spans="1:18" ht="15" customHeight="1">
      <c r="B123" s="606" t="s">
        <v>423</v>
      </c>
      <c r="C123" s="607" t="s">
        <v>321</v>
      </c>
      <c r="D123" s="603"/>
      <c r="E123" s="603"/>
      <c r="F123" s="603"/>
      <c r="G123"/>
      <c r="H123" s="603"/>
      <c r="I123" s="603"/>
      <c r="J123" s="603"/>
      <c r="K123" s="603"/>
      <c r="L123" s="603"/>
      <c r="M123" s="603"/>
      <c r="N123" s="603"/>
      <c r="O123" s="603"/>
      <c r="P123" s="603"/>
      <c r="Q123" s="603"/>
      <c r="R123" s="506"/>
    </row>
    <row r="124" spans="1:18" ht="15" customHeight="1">
      <c r="B124" s="608" t="s">
        <v>424</v>
      </c>
      <c r="C124" s="609" t="s">
        <v>14</v>
      </c>
      <c r="D124" s="600"/>
      <c r="E124" s="600"/>
      <c r="F124" s="600"/>
      <c r="G124"/>
      <c r="H124" s="600"/>
      <c r="I124" s="600"/>
      <c r="J124" s="600"/>
      <c r="K124" s="600"/>
      <c r="L124" s="600"/>
      <c r="M124" s="600"/>
      <c r="N124" s="600"/>
      <c r="O124" s="600"/>
      <c r="P124" s="600"/>
      <c r="Q124" s="600"/>
      <c r="R124" s="506"/>
    </row>
    <row r="125" spans="1:18" ht="5.25" customHeight="1">
      <c r="B125" s="305"/>
      <c r="C125" s="34"/>
      <c r="D125" s="34"/>
      <c r="E125" s="34"/>
      <c r="F125" s="34"/>
      <c r="G125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506"/>
    </row>
    <row r="126" spans="1:18" ht="15" customHeight="1">
      <c r="A126" s="476"/>
      <c r="B126" s="538"/>
      <c r="C126" s="539" t="s">
        <v>417</v>
      </c>
      <c r="D126" s="539"/>
      <c r="E126" s="539"/>
      <c r="F126" s="540"/>
      <c r="G126"/>
      <c r="H126" s="594"/>
      <c r="I126" s="539"/>
      <c r="J126" s="539"/>
      <c r="K126" s="539"/>
      <c r="L126" s="539"/>
      <c r="M126" s="539"/>
      <c r="N126" s="539"/>
      <c r="O126" s="539"/>
      <c r="P126" s="539"/>
      <c r="Q126" s="540"/>
      <c r="R126" s="506"/>
    </row>
    <row r="127" spans="1:18" ht="15" customHeight="1">
      <c r="B127" s="610" t="s">
        <v>426</v>
      </c>
      <c r="C127" s="611" t="s">
        <v>13</v>
      </c>
      <c r="D127" s="600"/>
      <c r="E127" s="600"/>
      <c r="F127" s="600"/>
      <c r="G127"/>
      <c r="H127" s="600"/>
      <c r="I127" s="600"/>
      <c r="J127" s="600"/>
      <c r="K127" s="600"/>
      <c r="L127" s="600"/>
      <c r="M127" s="600"/>
      <c r="N127" s="600"/>
      <c r="O127" s="600"/>
      <c r="P127" s="600"/>
      <c r="Q127" s="600"/>
      <c r="R127" s="506"/>
    </row>
    <row r="128" spans="1:18" ht="15" customHeight="1">
      <c r="B128" s="610" t="s">
        <v>427</v>
      </c>
      <c r="C128" s="611" t="s">
        <v>12</v>
      </c>
      <c r="D128" s="600"/>
      <c r="E128" s="600"/>
      <c r="F128" s="600"/>
      <c r="G128"/>
      <c r="H128" s="600"/>
      <c r="I128" s="600"/>
      <c r="J128" s="600"/>
      <c r="K128" s="600"/>
      <c r="L128" s="600"/>
      <c r="M128" s="600"/>
      <c r="N128" s="600"/>
      <c r="O128" s="600"/>
      <c r="P128" s="600"/>
      <c r="Q128" s="600"/>
      <c r="R128" s="506"/>
    </row>
    <row r="129" spans="1:18" ht="15" customHeight="1">
      <c r="B129" s="612" t="s">
        <v>428</v>
      </c>
      <c r="C129" s="613" t="s">
        <v>11</v>
      </c>
      <c r="D129" s="600"/>
      <c r="E129" s="600"/>
      <c r="F129" s="600"/>
      <c r="G129"/>
      <c r="H129" s="600"/>
      <c r="I129" s="600"/>
      <c r="J129" s="600"/>
      <c r="K129" s="600"/>
      <c r="L129" s="600"/>
      <c r="M129" s="600"/>
      <c r="N129" s="600"/>
      <c r="O129" s="600"/>
      <c r="P129" s="600"/>
      <c r="Q129" s="600"/>
      <c r="R129" s="506"/>
    </row>
    <row r="130" spans="1:18" ht="15" customHeight="1">
      <c r="B130" s="610" t="s">
        <v>429</v>
      </c>
      <c r="C130" s="611" t="s">
        <v>10</v>
      </c>
      <c r="D130" s="600"/>
      <c r="E130" s="600"/>
      <c r="F130" s="600"/>
      <c r="G130"/>
      <c r="H130" s="600"/>
      <c r="I130" s="600"/>
      <c r="J130" s="600"/>
      <c r="K130" s="600"/>
      <c r="L130" s="600"/>
      <c r="M130" s="600"/>
      <c r="N130" s="600"/>
      <c r="O130" s="600"/>
      <c r="P130" s="600"/>
      <c r="Q130" s="600"/>
      <c r="R130" s="506"/>
    </row>
    <row r="131" spans="1:18" ht="15" customHeight="1">
      <c r="B131" s="614" t="s">
        <v>430</v>
      </c>
      <c r="C131" s="609" t="s">
        <v>9</v>
      </c>
      <c r="D131" s="600"/>
      <c r="E131" s="600"/>
      <c r="F131" s="600"/>
      <c r="G131"/>
      <c r="H131" s="600"/>
      <c r="I131" s="600"/>
      <c r="J131" s="600"/>
      <c r="K131" s="600"/>
      <c r="L131" s="600"/>
      <c r="M131" s="600"/>
      <c r="N131" s="600"/>
      <c r="O131" s="600"/>
      <c r="P131" s="600"/>
      <c r="Q131" s="600"/>
      <c r="R131" s="506"/>
    </row>
    <row r="132" spans="1:18" ht="5.25" customHeight="1">
      <c r="B132" s="305"/>
      <c r="C132" s="34"/>
      <c r="D132" s="34"/>
      <c r="E132" s="34"/>
      <c r="F132" s="34"/>
      <c r="G132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506"/>
    </row>
    <row r="133" spans="1:18" ht="15" customHeight="1">
      <c r="A133" s="476"/>
      <c r="B133" s="538"/>
      <c r="C133" s="539" t="s">
        <v>418</v>
      </c>
      <c r="D133" s="539"/>
      <c r="E133" s="539"/>
      <c r="F133" s="540"/>
      <c r="G133"/>
      <c r="H133" s="594"/>
      <c r="I133" s="539"/>
      <c r="J133" s="539"/>
      <c r="K133" s="539"/>
      <c r="L133" s="539"/>
      <c r="M133" s="539"/>
      <c r="N133" s="539"/>
      <c r="O133" s="539"/>
      <c r="P133" s="539"/>
      <c r="Q133" s="540"/>
      <c r="R133" s="506"/>
    </row>
    <row r="134" spans="1:18" ht="15" customHeight="1">
      <c r="B134" s="615" t="s">
        <v>431</v>
      </c>
      <c r="C134" s="599" t="s">
        <v>323</v>
      </c>
      <c r="D134" s="600"/>
      <c r="E134" s="600"/>
      <c r="F134" s="600"/>
      <c r="G134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506"/>
    </row>
    <row r="135" spans="1:18" ht="15" customHeight="1">
      <c r="B135" s="610" t="s">
        <v>432</v>
      </c>
      <c r="C135" s="611" t="s">
        <v>8</v>
      </c>
      <c r="D135" s="600"/>
      <c r="E135" s="600"/>
      <c r="F135" s="600"/>
      <c r="G135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506"/>
    </row>
    <row r="136" spans="1:18" ht="15" customHeight="1">
      <c r="B136" s="590"/>
      <c r="C136" s="591"/>
      <c r="D136" s="592"/>
      <c r="E136" s="593"/>
      <c r="F136" s="593"/>
      <c r="H136" s="616"/>
      <c r="I136" s="616"/>
      <c r="J136" s="616"/>
      <c r="K136" s="616"/>
      <c r="L136" s="616"/>
      <c r="M136" s="616"/>
      <c r="N136" s="616"/>
      <c r="O136" s="616"/>
      <c r="P136" s="616"/>
      <c r="Q136" s="617"/>
      <c r="R136" s="506"/>
    </row>
    <row r="137" spans="1:18" s="3" customFormat="1" ht="15" customHeight="1">
      <c r="B137" s="477"/>
      <c r="C137" s="517" t="s">
        <v>268</v>
      </c>
      <c r="D137" s="517"/>
      <c r="E137" s="517"/>
      <c r="F137" s="479"/>
      <c r="H137" s="477"/>
      <c r="I137" s="518"/>
      <c r="J137" s="518"/>
      <c r="K137" s="518"/>
      <c r="L137" s="518"/>
      <c r="M137" s="518"/>
      <c r="N137" s="518"/>
      <c r="O137" s="518"/>
      <c r="P137" s="518"/>
      <c r="Q137" s="519"/>
    </row>
    <row r="138" spans="1:18" s="3" customFormat="1" ht="3.75" customHeight="1"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8" s="544" customFormat="1" ht="15" customHeight="1">
      <c r="B139" s="538"/>
      <c r="C139" s="539" t="s">
        <v>281</v>
      </c>
      <c r="D139" s="539"/>
      <c r="E139" s="539"/>
      <c r="F139" s="540"/>
      <c r="G139" s="3"/>
      <c r="H139" s="538"/>
      <c r="I139" s="541"/>
      <c r="J139" s="541"/>
      <c r="K139" s="541"/>
      <c r="L139" s="541"/>
      <c r="M139" s="541"/>
      <c r="N139" s="541"/>
      <c r="O139" s="541"/>
      <c r="P139" s="541"/>
      <c r="Q139" s="542"/>
    </row>
    <row r="140" spans="1:18" ht="15" customHeight="1">
      <c r="A140" s="476"/>
      <c r="B140" s="484" t="s">
        <v>2</v>
      </c>
      <c r="C140" s="485" t="s">
        <v>278</v>
      </c>
      <c r="D140" s="485"/>
      <c r="E140" s="485"/>
      <c r="F140" s="523" t="s">
        <v>227</v>
      </c>
      <c r="H140" s="547">
        <v>0.05</v>
      </c>
      <c r="I140" s="547">
        <f t="shared" ref="I140:P141" si="20">H140</f>
        <v>0.05</v>
      </c>
      <c r="J140" s="547">
        <f t="shared" si="20"/>
        <v>0.05</v>
      </c>
      <c r="K140" s="547">
        <f>I140</f>
        <v>0.05</v>
      </c>
      <c r="L140" s="547">
        <f t="shared" si="20"/>
        <v>0.05</v>
      </c>
      <c r="M140" s="547">
        <f t="shared" si="20"/>
        <v>0.05</v>
      </c>
      <c r="N140" s="547">
        <f t="shared" si="20"/>
        <v>0.05</v>
      </c>
      <c r="O140" s="547">
        <f t="shared" si="20"/>
        <v>0.05</v>
      </c>
      <c r="P140" s="547">
        <f t="shared" si="20"/>
        <v>0.05</v>
      </c>
      <c r="Q140" s="547">
        <f t="shared" ref="Q140:Q141" si="21">IFERROR(ROUND(IF($Q$15="Simples",
INDEX(H140:P140,MATCH($Q$16,$H$16:$P$16,1)),
INDEX(H140:P140,MATCH($Q$15,$H$13:$P$13,0))
),4),"")</f>
        <v>0.05</v>
      </c>
      <c r="R140" s="506"/>
    </row>
    <row r="141" spans="1:18" ht="15" customHeight="1">
      <c r="A141" s="476"/>
      <c r="B141" s="484" t="s">
        <v>1</v>
      </c>
      <c r="C141" s="485" t="s">
        <v>279</v>
      </c>
      <c r="D141" s="485"/>
      <c r="E141" s="485"/>
      <c r="F141" s="523" t="s">
        <v>226</v>
      </c>
      <c r="H141" s="547">
        <v>0.1</v>
      </c>
      <c r="I141" s="547">
        <f t="shared" si="20"/>
        <v>0.1</v>
      </c>
      <c r="J141" s="547">
        <f t="shared" si="20"/>
        <v>0.1</v>
      </c>
      <c r="K141" s="547">
        <f>I141</f>
        <v>0.1</v>
      </c>
      <c r="L141" s="547">
        <f t="shared" si="20"/>
        <v>0.1</v>
      </c>
      <c r="M141" s="547">
        <f t="shared" si="20"/>
        <v>0.1</v>
      </c>
      <c r="N141" s="547">
        <f t="shared" si="20"/>
        <v>0.1</v>
      </c>
      <c r="O141" s="547">
        <f t="shared" si="20"/>
        <v>0.1</v>
      </c>
      <c r="P141" s="547">
        <f t="shared" si="20"/>
        <v>0.1</v>
      </c>
      <c r="Q141" s="547">
        <f t="shared" si="21"/>
        <v>0.1</v>
      </c>
      <c r="R141" s="506"/>
    </row>
    <row r="142" spans="1:18" customFormat="1" ht="3.75" customHeight="1"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8" s="544" customFormat="1" ht="15" customHeight="1">
      <c r="B143" s="538"/>
      <c r="C143" s="539" t="s">
        <v>396</v>
      </c>
      <c r="D143" s="539"/>
      <c r="E143" s="539"/>
      <c r="F143" s="540"/>
      <c r="G143" s="3"/>
      <c r="H143" s="538"/>
      <c r="I143" s="541"/>
      <c r="J143" s="541"/>
      <c r="K143" s="541"/>
      <c r="L143" s="541"/>
      <c r="M143" s="541"/>
      <c r="N143" s="541"/>
      <c r="O143" s="541"/>
      <c r="P143" s="541"/>
      <c r="Q143" s="542"/>
    </row>
    <row r="144" spans="1:18" ht="15" customHeight="1">
      <c r="A144" s="476"/>
      <c r="B144" s="520" t="s">
        <v>2</v>
      </c>
      <c r="C144" s="521" t="s">
        <v>45</v>
      </c>
      <c r="D144" s="485"/>
      <c r="E144" s="485"/>
      <c r="F144" s="523" t="s">
        <v>225</v>
      </c>
      <c r="H144" s="547">
        <v>0.03</v>
      </c>
      <c r="I144" s="547">
        <v>7.5999999999999998E-2</v>
      </c>
      <c r="J144" s="547"/>
      <c r="K144" s="547" t="str">
        <f>IFERROR(((Resumo!$J$10*K$17-K$16)/Resumo!$J$10)*12.82%,"")</f>
        <v/>
      </c>
      <c r="L144" s="547" t="str">
        <f>IFERROR(((Resumo!$J$10*L$17-L$16)/Resumo!$J$10)*14.05%,"")</f>
        <v/>
      </c>
      <c r="M144" s="547" t="str">
        <f>IFERROR(((Resumo!$J$10*M$17-M$16)/Resumo!$J$10)*13.64%,"")</f>
        <v/>
      </c>
      <c r="N144" s="547" t="str">
        <f>IFERROR(((Resumo!$J$10*N$17-N$16)/Resumo!$J$10)*14%,"")</f>
        <v/>
      </c>
      <c r="O144" s="547" t="str">
        <f>IFERROR(((Resumo!$J$10*O$17-O$16)/Resumo!$J$10)*12.82%,"")</f>
        <v/>
      </c>
      <c r="P144" s="547" t="str">
        <f>IFERROR(((Resumo!$J$10*P$17-P$16)/Resumo!$J$10)*16.03%,"")</f>
        <v/>
      </c>
      <c r="Q144" s="547">
        <f t="shared" ref="Q144:Q147" si="22">IFERROR(ROUND(IF($Q$15="Simples",
INDEX(H144:P144,MATCH($Q$16,$H$16:$P$16,1)),
INDEX(H144:P144,MATCH($Q$15,$H$13:$P$13,0))
),4),"")</f>
        <v>7.5999999999999998E-2</v>
      </c>
      <c r="R144" s="506"/>
    </row>
    <row r="145" spans="1:18" ht="15" customHeight="1">
      <c r="A145" s="476"/>
      <c r="B145" s="520" t="s">
        <v>1</v>
      </c>
      <c r="C145" s="521" t="s">
        <v>134</v>
      </c>
      <c r="D145" s="485"/>
      <c r="E145" s="485"/>
      <c r="F145" s="523" t="s">
        <v>225</v>
      </c>
      <c r="H145" s="547">
        <v>6.4999999999999997E-3</v>
      </c>
      <c r="I145" s="547">
        <v>1.6500000000000001E-2</v>
      </c>
      <c r="J145" s="547">
        <v>6.4999999999999997E-3</v>
      </c>
      <c r="K145" s="547" t="str">
        <f>IFERROR(((Resumo!$J$10*K$17-K$16)/Resumo!$J$10)*2.78%,"")</f>
        <v/>
      </c>
      <c r="L145" s="547" t="str">
        <f>IFERROR(((Resumo!$J$10*L$17-L$16)/Resumo!$J$10)*3.05%,"")</f>
        <v/>
      </c>
      <c r="M145" s="547" t="str">
        <f>IFERROR(((Resumo!$J$10*M$17-M$16)/Resumo!$J$10)*2.96%,"")</f>
        <v/>
      </c>
      <c r="N145" s="547" t="str">
        <f>IFERROR(((Resumo!$J$10*N$17-N$16)/Resumo!$J$10)*3%,"")</f>
        <v/>
      </c>
      <c r="O145" s="547" t="str">
        <f>IFERROR(((Resumo!$J$10*O$17-O$16)/Resumo!$J$10)*2.78%,"")</f>
        <v/>
      </c>
      <c r="P145" s="547" t="str">
        <f>IFERROR(((Resumo!$J$10*P$17-P$16)/Resumo!$J$10)*3.47%,"")</f>
        <v/>
      </c>
      <c r="Q145" s="547">
        <f t="shared" si="22"/>
        <v>1.6500000000000001E-2</v>
      </c>
      <c r="R145" s="506"/>
    </row>
    <row r="146" spans="1:18" ht="15" customHeight="1">
      <c r="A146" s="476"/>
      <c r="B146" s="520" t="s">
        <v>0</v>
      </c>
      <c r="C146" s="521" t="s">
        <v>46</v>
      </c>
      <c r="D146" s="485"/>
      <c r="E146" s="485"/>
      <c r="F146" s="523" t="s">
        <v>225</v>
      </c>
      <c r="H146" s="547">
        <v>0.05</v>
      </c>
      <c r="I146" s="547">
        <v>2.5000000000000001E-2</v>
      </c>
      <c r="J146" s="547">
        <v>2.5000000000000001E-2</v>
      </c>
      <c r="K146" s="547" t="str">
        <f>IFERROR(((Resumo!$J$10*K$17-K$16)/Resumo!$J$10)*33.5%,"")</f>
        <v/>
      </c>
      <c r="L146" s="547" t="str">
        <f>IFERROR(((Resumo!$J$10*L$17-L$16)/Resumo!$J$10)*32%,"")</f>
        <v/>
      </c>
      <c r="M146" s="547" t="str">
        <f>IFERROR(((Resumo!$J$10*M$17-M$16)/Resumo!$J$10)*32.5%,"")</f>
        <v/>
      </c>
      <c r="N146" s="547" t="str">
        <f>IFERROR(((Resumo!$J$10*N$17-N$16)/Resumo!$J$10)*33%,"")</f>
        <v/>
      </c>
      <c r="O146" s="547" t="str">
        <f>IFERROR(((Resumo!$J$10*O$17-O$16)/Resumo!$J$10)*33.5%,"")</f>
        <v/>
      </c>
      <c r="P146" s="547" t="str">
        <f>IFERROR(((Resumo!$J$10*P$17-P$16)/Resumo!$J$10)*30.5%,"")</f>
        <v/>
      </c>
      <c r="Q146" s="547">
        <f t="shared" si="22"/>
        <v>2.5000000000000001E-2</v>
      </c>
      <c r="R146" s="506"/>
    </row>
    <row r="147" spans="1:18" ht="15" customHeight="1">
      <c r="B147" s="520" t="s">
        <v>3</v>
      </c>
      <c r="C147" s="521" t="s">
        <v>390</v>
      </c>
      <c r="D147" s="485"/>
      <c r="E147" s="485"/>
      <c r="F147" s="523" t="s">
        <v>225</v>
      </c>
      <c r="H147" s="588"/>
      <c r="I147" s="588"/>
      <c r="J147" s="588"/>
      <c r="K147" s="588"/>
      <c r="L147" s="588"/>
      <c r="M147" s="588"/>
      <c r="N147" s="588"/>
      <c r="O147" s="588"/>
      <c r="P147" s="588"/>
      <c r="Q147" s="589">
        <f t="shared" si="22"/>
        <v>0</v>
      </c>
    </row>
    <row r="149" spans="1:18" ht="15" customHeight="1">
      <c r="B149" s="477"/>
      <c r="C149" s="517" t="s">
        <v>473</v>
      </c>
      <c r="D149" s="517"/>
      <c r="E149" s="517"/>
      <c r="F149" s="479"/>
      <c r="G149" s="3"/>
      <c r="H149" s="477"/>
      <c r="I149" s="518"/>
      <c r="J149" s="518"/>
      <c r="K149" s="518"/>
      <c r="L149" s="518"/>
      <c r="M149" s="518"/>
      <c r="N149" s="518"/>
      <c r="O149" s="518"/>
      <c r="P149" s="518"/>
      <c r="Q149" s="519"/>
    </row>
    <row r="150" spans="1:18" ht="4.5" customHeight="1">
      <c r="B150" s="3"/>
      <c r="C150" s="3"/>
      <c r="D150" s="3"/>
      <c r="E150" s="3"/>
      <c r="F150" s="3"/>
      <c r="G150" s="3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8" ht="15" customHeight="1">
      <c r="B151" s="538"/>
      <c r="C151" s="539" t="s">
        <v>492</v>
      </c>
      <c r="D151" s="539"/>
      <c r="E151" s="539"/>
      <c r="F151" s="540"/>
      <c r="G151" s="3"/>
      <c r="H151" s="538"/>
      <c r="I151" s="541"/>
      <c r="J151" s="541"/>
      <c r="K151" s="541"/>
      <c r="L151" s="541"/>
      <c r="M151" s="541"/>
      <c r="N151" s="541"/>
      <c r="O151" s="541"/>
      <c r="P151" s="541"/>
      <c r="Q151" s="618"/>
      <c r="R151" s="506"/>
    </row>
    <row r="152" spans="1:18" ht="15" customHeight="1">
      <c r="B152" s="619" t="s">
        <v>2</v>
      </c>
      <c r="C152" s="620" t="s">
        <v>449</v>
      </c>
      <c r="D152" s="485"/>
      <c r="E152" s="485"/>
      <c r="F152" s="523"/>
      <c r="H152" s="547"/>
      <c r="I152" s="547"/>
      <c r="J152" s="547"/>
      <c r="K152" s="547"/>
      <c r="L152" s="547"/>
      <c r="M152" s="547"/>
      <c r="N152" s="547"/>
      <c r="O152" s="547"/>
      <c r="P152" s="547"/>
      <c r="Q152" s="621">
        <v>800</v>
      </c>
    </row>
    <row r="153" spans="1:18" ht="15" customHeight="1">
      <c r="B153" s="619" t="s">
        <v>1</v>
      </c>
      <c r="C153" s="620" t="s">
        <v>450</v>
      </c>
      <c r="D153" s="485"/>
      <c r="E153" s="485"/>
      <c r="F153" s="523"/>
      <c r="H153" s="547"/>
      <c r="I153" s="547"/>
      <c r="J153" s="547"/>
      <c r="K153" s="547"/>
      <c r="L153" s="547"/>
      <c r="M153" s="547"/>
      <c r="N153" s="547"/>
      <c r="O153" s="547"/>
      <c r="P153" s="547"/>
      <c r="Q153" s="621">
        <v>800</v>
      </c>
    </row>
    <row r="154" spans="1:18" ht="15" customHeight="1">
      <c r="B154" s="619" t="s">
        <v>0</v>
      </c>
      <c r="C154" s="620" t="s">
        <v>451</v>
      </c>
      <c r="D154" s="485"/>
      <c r="E154" s="485"/>
      <c r="F154" s="523"/>
      <c r="H154" s="547"/>
      <c r="I154" s="547"/>
      <c r="J154" s="547"/>
      <c r="K154" s="547"/>
      <c r="L154" s="547"/>
      <c r="M154" s="547"/>
      <c r="N154" s="547"/>
      <c r="O154" s="547"/>
      <c r="P154" s="547"/>
      <c r="Q154" s="621">
        <v>360</v>
      </c>
    </row>
    <row r="155" spans="1:18" ht="15" customHeight="1">
      <c r="B155" s="619" t="s">
        <v>3</v>
      </c>
      <c r="C155" s="620" t="s">
        <v>452</v>
      </c>
      <c r="D155" s="485"/>
      <c r="E155" s="485"/>
      <c r="F155" s="523"/>
      <c r="H155" s="547"/>
      <c r="I155" s="547"/>
      <c r="J155" s="547"/>
      <c r="K155" s="547"/>
      <c r="L155" s="547"/>
      <c r="M155" s="547"/>
      <c r="N155" s="547"/>
      <c r="O155" s="547"/>
      <c r="P155" s="547"/>
      <c r="Q155" s="621">
        <v>1500</v>
      </c>
    </row>
    <row r="156" spans="1:18" ht="15" customHeight="1">
      <c r="B156" s="619" t="s">
        <v>7</v>
      </c>
      <c r="C156" s="620" t="s">
        <v>447</v>
      </c>
      <c r="D156" s="485"/>
      <c r="E156" s="485"/>
      <c r="F156" s="523"/>
      <c r="H156" s="547"/>
      <c r="I156" s="547"/>
      <c r="J156" s="547"/>
      <c r="K156" s="547"/>
      <c r="L156" s="547"/>
      <c r="M156" s="547"/>
      <c r="N156" s="547"/>
      <c r="O156" s="547"/>
      <c r="P156" s="547"/>
      <c r="Q156" s="621">
        <v>1200</v>
      </c>
    </row>
    <row r="157" spans="1:18" ht="15" customHeight="1">
      <c r="B157" s="619" t="s">
        <v>6</v>
      </c>
      <c r="C157" s="622" t="s">
        <v>482</v>
      </c>
      <c r="D157" s="485"/>
      <c r="E157" s="485"/>
      <c r="F157" s="523"/>
      <c r="H157" s="547"/>
      <c r="I157" s="547"/>
      <c r="J157" s="547"/>
      <c r="K157" s="547"/>
      <c r="L157" s="547"/>
      <c r="M157" s="547"/>
      <c r="N157" s="547"/>
      <c r="O157" s="547"/>
      <c r="P157" s="547"/>
      <c r="Q157" s="621">
        <v>1000</v>
      </c>
    </row>
    <row r="158" spans="1:18" ht="15" customHeight="1">
      <c r="B158" s="619" t="s">
        <v>5</v>
      </c>
      <c r="C158" s="622" t="s">
        <v>483</v>
      </c>
      <c r="D158" s="485"/>
      <c r="E158" s="485"/>
      <c r="F158" s="523"/>
      <c r="H158" s="547"/>
      <c r="I158" s="547"/>
      <c r="J158" s="547"/>
      <c r="K158" s="547"/>
      <c r="L158" s="547"/>
      <c r="M158" s="547"/>
      <c r="N158" s="547"/>
      <c r="O158" s="547"/>
      <c r="P158" s="547"/>
      <c r="Q158" s="621">
        <v>200</v>
      </c>
    </row>
    <row r="159" spans="1:18" ht="4.5" customHeight="1">
      <c r="C159" s="397"/>
      <c r="Q159" s="623"/>
    </row>
    <row r="160" spans="1:18" ht="15" customHeight="1">
      <c r="B160" s="538"/>
      <c r="C160" s="539" t="s">
        <v>493</v>
      </c>
      <c r="D160" s="539"/>
      <c r="E160" s="539"/>
      <c r="F160" s="540"/>
      <c r="G160" s="3"/>
      <c r="H160" s="538"/>
      <c r="I160" s="541"/>
      <c r="J160" s="541"/>
      <c r="K160" s="541"/>
      <c r="L160" s="541"/>
      <c r="M160" s="541"/>
      <c r="N160" s="541"/>
      <c r="O160" s="541"/>
      <c r="P160" s="541"/>
      <c r="Q160" s="624"/>
      <c r="R160" s="506"/>
    </row>
    <row r="161" spans="2:18" ht="15" customHeight="1">
      <c r="B161" s="619" t="s">
        <v>2</v>
      </c>
      <c r="C161" s="620" t="s">
        <v>453</v>
      </c>
      <c r="D161" s="485"/>
      <c r="E161" s="485"/>
      <c r="F161" s="523"/>
      <c r="H161" s="547"/>
      <c r="I161" s="547"/>
      <c r="J161" s="547"/>
      <c r="K161" s="547"/>
      <c r="L161" s="547"/>
      <c r="M161" s="547"/>
      <c r="N161" s="547"/>
      <c r="O161" s="547"/>
      <c r="P161" s="547"/>
      <c r="Q161" s="621">
        <v>1800</v>
      </c>
    </row>
    <row r="162" spans="2:18" ht="15" customHeight="1">
      <c r="B162" s="619" t="s">
        <v>1</v>
      </c>
      <c r="C162" s="620" t="s">
        <v>448</v>
      </c>
      <c r="D162" s="485"/>
      <c r="E162" s="485"/>
      <c r="F162" s="523"/>
      <c r="H162" s="547"/>
      <c r="I162" s="547"/>
      <c r="J162" s="547"/>
      <c r="K162" s="547"/>
      <c r="L162" s="547"/>
      <c r="M162" s="547"/>
      <c r="N162" s="547"/>
      <c r="O162" s="547"/>
      <c r="P162" s="547"/>
      <c r="Q162" s="621">
        <v>6000</v>
      </c>
    </row>
    <row r="163" spans="2:18" ht="15" customHeight="1">
      <c r="B163" s="619" t="s">
        <v>0</v>
      </c>
      <c r="C163" s="620" t="s">
        <v>454</v>
      </c>
      <c r="D163" s="485"/>
      <c r="E163" s="485" t="s">
        <v>487</v>
      </c>
      <c r="F163" s="523"/>
      <c r="H163" s="547"/>
      <c r="I163" s="547"/>
      <c r="J163" s="547"/>
      <c r="K163" s="547"/>
      <c r="L163" s="547"/>
      <c r="M163" s="547"/>
      <c r="N163" s="547"/>
      <c r="O163" s="547"/>
      <c r="P163" s="547"/>
      <c r="Q163" s="621">
        <v>1800</v>
      </c>
    </row>
    <row r="164" spans="2:18" ht="15" customHeight="1">
      <c r="B164" s="619" t="s">
        <v>3</v>
      </c>
      <c r="C164" s="620" t="s">
        <v>455</v>
      </c>
      <c r="D164" s="485"/>
      <c r="E164" s="485" t="s">
        <v>487</v>
      </c>
      <c r="F164" s="523"/>
      <c r="H164" s="547"/>
      <c r="I164" s="547"/>
      <c r="J164" s="547"/>
      <c r="K164" s="547"/>
      <c r="L164" s="547"/>
      <c r="M164" s="547"/>
      <c r="N164" s="547"/>
      <c r="O164" s="547"/>
      <c r="P164" s="547"/>
      <c r="Q164" s="621">
        <v>1800</v>
      </c>
    </row>
    <row r="165" spans="2:18" ht="15" customHeight="1">
      <c r="B165" s="619" t="s">
        <v>7</v>
      </c>
      <c r="C165" s="620" t="s">
        <v>456</v>
      </c>
      <c r="D165" s="485"/>
      <c r="E165" s="485" t="s">
        <v>487</v>
      </c>
      <c r="F165" s="523"/>
      <c r="H165" s="547"/>
      <c r="I165" s="547"/>
      <c r="J165" s="547"/>
      <c r="K165" s="547"/>
      <c r="L165" s="547"/>
      <c r="M165" s="547"/>
      <c r="N165" s="547"/>
      <c r="O165" s="547"/>
      <c r="P165" s="547"/>
      <c r="Q165" s="621">
        <v>1800</v>
      </c>
    </row>
    <row r="166" spans="2:18" ht="15" customHeight="1">
      <c r="B166" s="619" t="s">
        <v>6</v>
      </c>
      <c r="C166" s="620" t="s">
        <v>457</v>
      </c>
      <c r="D166" s="485"/>
      <c r="E166" s="485"/>
      <c r="F166" s="523"/>
      <c r="H166" s="547"/>
      <c r="I166" s="547"/>
      <c r="J166" s="547"/>
      <c r="K166" s="547"/>
      <c r="L166" s="547"/>
      <c r="M166" s="547"/>
      <c r="N166" s="547"/>
      <c r="O166" s="547"/>
      <c r="P166" s="547"/>
      <c r="Q166" s="621">
        <v>100000</v>
      </c>
    </row>
    <row r="167" spans="2:18" ht="4.5" customHeight="1">
      <c r="C167" s="397"/>
      <c r="Q167" s="623"/>
    </row>
    <row r="168" spans="2:18" ht="15" customHeight="1">
      <c r="B168" s="538"/>
      <c r="C168" s="539" t="s">
        <v>494</v>
      </c>
      <c r="D168" s="539"/>
      <c r="E168" s="539"/>
      <c r="F168" s="540"/>
      <c r="G168" s="3"/>
      <c r="H168" s="538"/>
      <c r="I168" s="541"/>
      <c r="J168" s="541"/>
      <c r="K168" s="541"/>
      <c r="L168" s="541"/>
      <c r="M168" s="541"/>
      <c r="N168" s="541"/>
      <c r="O168" s="541"/>
      <c r="P168" s="541"/>
      <c r="Q168" s="624"/>
      <c r="R168" s="506"/>
    </row>
    <row r="169" spans="2:18" ht="15" customHeight="1">
      <c r="B169" s="619" t="s">
        <v>2</v>
      </c>
      <c r="C169" s="622" t="s">
        <v>478</v>
      </c>
      <c r="D169" s="485"/>
      <c r="E169" s="485"/>
      <c r="F169" s="523"/>
      <c r="H169" s="547"/>
      <c r="I169" s="547"/>
      <c r="J169" s="547"/>
      <c r="K169" s="547"/>
      <c r="L169" s="547"/>
      <c r="M169" s="547"/>
      <c r="N169" s="547"/>
      <c r="O169" s="547"/>
      <c r="P169" s="547"/>
      <c r="Q169" s="621">
        <v>130</v>
      </c>
    </row>
    <row r="170" spans="2:18" ht="15" customHeight="1">
      <c r="B170" s="619" t="s">
        <v>1</v>
      </c>
      <c r="C170" s="622" t="s">
        <v>479</v>
      </c>
      <c r="D170" s="485"/>
      <c r="E170" s="485"/>
      <c r="F170" s="523"/>
      <c r="H170" s="547"/>
      <c r="I170" s="547"/>
      <c r="J170" s="547"/>
      <c r="K170" s="547"/>
      <c r="L170" s="547"/>
      <c r="M170" s="547"/>
      <c r="N170" s="547"/>
      <c r="O170" s="547"/>
      <c r="P170" s="547"/>
      <c r="Q170" s="621">
        <v>300</v>
      </c>
    </row>
    <row r="171" spans="2:18" ht="15" customHeight="1">
      <c r="B171" s="619" t="s">
        <v>0</v>
      </c>
      <c r="C171" s="622" t="s">
        <v>480</v>
      </c>
      <c r="D171" s="485"/>
      <c r="E171" s="485"/>
      <c r="F171" s="523"/>
      <c r="H171" s="547"/>
      <c r="I171" s="547"/>
      <c r="J171" s="547"/>
      <c r="K171" s="547"/>
      <c r="L171" s="547"/>
      <c r="M171" s="547"/>
      <c r="N171" s="547"/>
      <c r="O171" s="547"/>
      <c r="P171" s="547"/>
      <c r="Q171" s="621">
        <v>300</v>
      </c>
    </row>
    <row r="172" spans="2:18" ht="4.5" customHeight="1">
      <c r="C172" s="397"/>
      <c r="Q172" s="623"/>
    </row>
    <row r="173" spans="2:18" ht="15" customHeight="1">
      <c r="B173" s="538"/>
      <c r="C173" s="539" t="s">
        <v>495</v>
      </c>
      <c r="D173" s="539"/>
      <c r="E173" s="539"/>
      <c r="F173" s="540"/>
      <c r="G173" s="3"/>
      <c r="H173" s="538"/>
      <c r="I173" s="541"/>
      <c r="J173" s="541"/>
      <c r="K173" s="541"/>
      <c r="L173" s="541"/>
      <c r="M173" s="541"/>
      <c r="N173" s="541"/>
      <c r="O173" s="541"/>
      <c r="P173" s="541"/>
      <c r="Q173" s="624"/>
      <c r="R173" s="506"/>
    </row>
    <row r="174" spans="2:18" ht="15" customHeight="1">
      <c r="B174" s="619" t="s">
        <v>2</v>
      </c>
      <c r="C174" s="620" t="s">
        <v>463</v>
      </c>
      <c r="D174" s="485"/>
      <c r="E174" s="485"/>
      <c r="F174" s="523"/>
      <c r="H174" s="547"/>
      <c r="I174" s="547"/>
      <c r="J174" s="547"/>
      <c r="K174" s="547"/>
      <c r="L174" s="547"/>
      <c r="M174" s="547"/>
      <c r="N174" s="547"/>
      <c r="O174" s="547"/>
      <c r="P174" s="547"/>
      <c r="Q174" s="621">
        <v>130</v>
      </c>
    </row>
    <row r="175" spans="2:18" ht="4.5" customHeight="1">
      <c r="C175" s="397"/>
      <c r="Q175" s="623"/>
    </row>
    <row r="176" spans="2:18" ht="15" customHeight="1">
      <c r="B176" s="538"/>
      <c r="C176" s="539" t="s">
        <v>496</v>
      </c>
      <c r="D176" s="539"/>
      <c r="E176" s="539"/>
      <c r="F176" s="540"/>
      <c r="G176" s="3"/>
      <c r="H176" s="538"/>
      <c r="I176" s="541"/>
      <c r="J176" s="541"/>
      <c r="K176" s="541"/>
      <c r="L176" s="541"/>
      <c r="M176" s="541"/>
      <c r="N176" s="541"/>
      <c r="O176" s="541"/>
      <c r="P176" s="541"/>
      <c r="Q176" s="624"/>
      <c r="R176" s="506"/>
    </row>
    <row r="177" spans="2:17" ht="15" customHeight="1">
      <c r="B177" s="619" t="s">
        <v>2</v>
      </c>
      <c r="C177" s="620" t="s">
        <v>464</v>
      </c>
      <c r="D177" s="485"/>
      <c r="E177" s="485"/>
      <c r="F177" s="523"/>
      <c r="H177" s="547"/>
      <c r="I177" s="547"/>
      <c r="J177" s="547"/>
      <c r="K177" s="547"/>
      <c r="L177" s="547"/>
      <c r="M177" s="547"/>
      <c r="N177" s="547"/>
      <c r="O177" s="547"/>
      <c r="P177" s="547"/>
      <c r="Q177" s="621">
        <v>360</v>
      </c>
    </row>
  </sheetData>
  <sheetProtection algorithmName="SHA-512" hashValue="Eq5ty3Ht7yIYEoPVl2MABZGSJmVvpoMBFmEqqAuDG2qwBIC1ckRRk5NRs2AgQptNqIoVxix+zSojxRgOk7h/sw==" saltValue="rkynmLJno2kFGotcA+3Ekw==" spinCount="100000" sheet="1" objects="1" scenarios="1"/>
  <mergeCells count="12">
    <mergeCell ref="B109:B110"/>
    <mergeCell ref="E12:E14"/>
    <mergeCell ref="D12:D14"/>
    <mergeCell ref="C12:C14"/>
    <mergeCell ref="B12:B14"/>
    <mergeCell ref="B45:B47"/>
    <mergeCell ref="Q13:Q14"/>
    <mergeCell ref="H12:Q12"/>
    <mergeCell ref="I13:I14"/>
    <mergeCell ref="H13:H14"/>
    <mergeCell ref="F12:F14"/>
    <mergeCell ref="J13:J14"/>
  </mergeCells>
  <hyperlinks>
    <hyperlink ref="F98" r:id="rId1" location="/documento/acordao-completo/*/KEY%253AACORDAO-COMPLETO-40423/DTRELEVANCIA%2520desc/0/sinonimos%253Dfalse" display="ACÓRDÃO 1753/2008 - PLENÁRIO" xr:uid="{00000000-0004-0000-0700-000000000000}"/>
    <hyperlink ref="F103" r:id="rId2" display=" Anuário RAIS do Ministério do Trabalho" xr:uid="{00000000-0004-0000-0700-000001000000}"/>
    <hyperlink ref="C115" location="'Mat Individual e Uniformes func'!A1" display="Material Individual e Uniformes" xr:uid="{00000000-0004-0000-0700-000002000000}"/>
    <hyperlink ref="C116" location="'Mat Coletivo e Equipamentos'!A1" display="Material Coletivo e Equipamentos" xr:uid="{00000000-0004-0000-0700-000003000000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3"/>
  <dimension ref="A1:T634"/>
  <sheetViews>
    <sheetView showGridLines="0" topLeftCell="F1" zoomScale="85" zoomScaleNormal="85" workbookViewId="0">
      <pane ySplit="1" topLeftCell="A10" activePane="bottomLeft" state="frozen"/>
      <selection pane="bottomLeft" activeCell="I15" sqref="I15"/>
    </sheetView>
  </sheetViews>
  <sheetFormatPr defaultRowHeight="15"/>
  <cols>
    <col min="1" max="1" width="29.28515625" style="31" bestFit="1" customWidth="1"/>
    <col min="2" max="2" width="7.42578125" style="2" customWidth="1"/>
    <col min="3" max="3" width="16.5703125" style="53" bestFit="1" customWidth="1"/>
    <col min="4" max="4" width="21" bestFit="1" customWidth="1"/>
    <col min="5" max="5" width="16.140625" bestFit="1" customWidth="1"/>
    <col min="6" max="6" width="17.5703125" bestFit="1" customWidth="1"/>
    <col min="7" max="7" width="17.28515625" style="38" bestFit="1" customWidth="1"/>
    <col min="8" max="8" width="17.28515625" style="63" bestFit="1" customWidth="1"/>
    <col min="9" max="9" width="19" style="38" bestFit="1" customWidth="1"/>
    <col min="10" max="10" width="13.85546875" bestFit="1" customWidth="1"/>
    <col min="11" max="11" width="19" bestFit="1" customWidth="1"/>
    <col min="12" max="12" width="19.85546875" bestFit="1" customWidth="1"/>
    <col min="13" max="13" width="18.140625" bestFit="1" customWidth="1"/>
    <col min="14" max="14" width="14.5703125" customWidth="1"/>
    <col min="15" max="20" width="12.7109375" customWidth="1"/>
  </cols>
  <sheetData>
    <row r="1" spans="1:20" s="242" customFormat="1" ht="90">
      <c r="A1" s="261" t="s">
        <v>340</v>
      </c>
      <c r="B1" s="261" t="s">
        <v>341</v>
      </c>
      <c r="C1" s="262" t="s">
        <v>342</v>
      </c>
      <c r="D1" s="261" t="s">
        <v>345</v>
      </c>
      <c r="E1" s="263" t="s">
        <v>352</v>
      </c>
      <c r="F1" s="263" t="s">
        <v>344</v>
      </c>
      <c r="G1" s="264" t="s">
        <v>395</v>
      </c>
      <c r="H1" s="265" t="s">
        <v>343</v>
      </c>
      <c r="I1" s="266" t="s">
        <v>346</v>
      </c>
      <c r="J1" s="266" t="s">
        <v>347</v>
      </c>
      <c r="K1" s="266" t="s">
        <v>373</v>
      </c>
      <c r="L1" s="266" t="s">
        <v>372</v>
      </c>
      <c r="M1" s="266" t="s">
        <v>384</v>
      </c>
      <c r="N1" s="266" t="s">
        <v>502</v>
      </c>
      <c r="O1" s="266" t="s">
        <v>378</v>
      </c>
      <c r="P1" s="266" t="s">
        <v>412</v>
      </c>
      <c r="Q1" s="266" t="s">
        <v>413</v>
      </c>
      <c r="R1" s="266" t="s">
        <v>381</v>
      </c>
      <c r="S1" s="266" t="s">
        <v>377</v>
      </c>
      <c r="T1" s="266" t="s">
        <v>46</v>
      </c>
    </row>
    <row r="2" spans="1:20" s="242" customFormat="1">
      <c r="A2" s="349"/>
      <c r="B2" s="349"/>
      <c r="C2" s="350"/>
      <c r="D2" s="349"/>
      <c r="E2" s="351"/>
      <c r="F2" s="351"/>
      <c r="G2" s="352"/>
      <c r="H2" s="353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1:20" s="62" customFormat="1">
      <c r="A3" s="355" t="s">
        <v>348</v>
      </c>
      <c r="B3" s="356">
        <v>4141</v>
      </c>
      <c r="C3" s="357" t="s">
        <v>151</v>
      </c>
      <c r="D3" s="356" t="s">
        <v>558</v>
      </c>
      <c r="E3" s="358">
        <v>45292</v>
      </c>
      <c r="F3" s="358">
        <v>45657</v>
      </c>
      <c r="G3" s="359">
        <v>1540.51</v>
      </c>
      <c r="H3" s="360">
        <v>220</v>
      </c>
      <c r="I3" s="359">
        <v>23.68</v>
      </c>
      <c r="J3" s="359">
        <f>I3/2</f>
        <v>11.84</v>
      </c>
      <c r="K3" s="356"/>
      <c r="L3" s="356"/>
      <c r="M3" s="361"/>
      <c r="N3" s="361" t="s">
        <v>405</v>
      </c>
      <c r="O3" s="361"/>
      <c r="P3" s="361">
        <v>0.06</v>
      </c>
      <c r="Q3" s="361">
        <v>0.19</v>
      </c>
      <c r="R3" s="359">
        <v>19.420000000000002</v>
      </c>
      <c r="S3" s="359"/>
      <c r="T3" s="473">
        <v>0.05</v>
      </c>
    </row>
    <row r="4" spans="1:20" s="2" customFormat="1">
      <c r="A4" s="267" t="s">
        <v>389</v>
      </c>
      <c r="B4" s="275">
        <v>4110</v>
      </c>
      <c r="C4" s="268" t="s">
        <v>151</v>
      </c>
      <c r="D4" s="269" t="s">
        <v>558</v>
      </c>
      <c r="E4" s="270">
        <v>45292</v>
      </c>
      <c r="F4" s="270">
        <v>45657</v>
      </c>
      <c r="G4" s="274">
        <v>2013.31</v>
      </c>
      <c r="H4" s="272">
        <v>220</v>
      </c>
      <c r="I4" s="271">
        <v>23.68</v>
      </c>
      <c r="J4" s="271">
        <f t="shared" ref="J4:J15" si="0">I4/2</f>
        <v>11.84</v>
      </c>
      <c r="K4" s="275"/>
      <c r="L4" s="275"/>
      <c r="M4" s="273"/>
      <c r="N4" s="273" t="s">
        <v>405</v>
      </c>
      <c r="O4" s="273"/>
      <c r="P4" s="273">
        <v>0.06</v>
      </c>
      <c r="Q4" s="273">
        <v>0.19</v>
      </c>
      <c r="R4" s="271">
        <v>19.420000000000002</v>
      </c>
      <c r="S4" s="271"/>
      <c r="T4" s="369">
        <v>0.05</v>
      </c>
    </row>
    <row r="5" spans="1:20" s="2" customFormat="1">
      <c r="A5" s="267" t="s">
        <v>388</v>
      </c>
      <c r="B5" s="275">
        <v>5143</v>
      </c>
      <c r="C5" s="268" t="s">
        <v>151</v>
      </c>
      <c r="D5" s="269" t="s">
        <v>558</v>
      </c>
      <c r="E5" s="270">
        <v>45292</v>
      </c>
      <c r="F5" s="270">
        <v>45657</v>
      </c>
      <c r="G5" s="274">
        <v>1540.51</v>
      </c>
      <c r="H5" s="272">
        <v>220</v>
      </c>
      <c r="I5" s="271">
        <v>23.68</v>
      </c>
      <c r="J5" s="271">
        <f t="shared" si="0"/>
        <v>11.84</v>
      </c>
      <c r="K5" s="275"/>
      <c r="L5" s="275"/>
      <c r="M5" s="273"/>
      <c r="N5" s="273" t="s">
        <v>405</v>
      </c>
      <c r="O5" s="273"/>
      <c r="P5" s="273">
        <v>0.06</v>
      </c>
      <c r="Q5" s="273">
        <v>0.19</v>
      </c>
      <c r="R5" s="271">
        <v>19.420000000000002</v>
      </c>
      <c r="S5" s="271"/>
      <c r="T5" s="369">
        <v>0.05</v>
      </c>
    </row>
    <row r="6" spans="1:20" s="2" customFormat="1">
      <c r="A6" s="267" t="s">
        <v>350</v>
      </c>
      <c r="B6" s="275">
        <v>5135</v>
      </c>
      <c r="C6" s="268" t="s">
        <v>151</v>
      </c>
      <c r="D6" s="269" t="s">
        <v>558</v>
      </c>
      <c r="E6" s="270">
        <v>45292</v>
      </c>
      <c r="F6" s="270">
        <v>45657</v>
      </c>
      <c r="G6" s="274">
        <v>1540.51</v>
      </c>
      <c r="H6" s="276">
        <v>220</v>
      </c>
      <c r="I6" s="271">
        <v>23.68</v>
      </c>
      <c r="J6" s="271">
        <f t="shared" si="0"/>
        <v>11.84</v>
      </c>
      <c r="K6" s="275"/>
      <c r="L6" s="275"/>
      <c r="M6" s="273">
        <v>0.2</v>
      </c>
      <c r="N6" s="273" t="s">
        <v>405</v>
      </c>
      <c r="O6" s="273"/>
      <c r="P6" s="273">
        <v>0.06</v>
      </c>
      <c r="Q6" s="273">
        <v>0.19</v>
      </c>
      <c r="R6" s="271">
        <v>19.420000000000002</v>
      </c>
      <c r="S6" s="271"/>
      <c r="T6" s="369">
        <v>0.05</v>
      </c>
    </row>
    <row r="7" spans="1:20" s="2" customFormat="1">
      <c r="A7" s="267" t="s">
        <v>387</v>
      </c>
      <c r="B7" s="275">
        <v>5142</v>
      </c>
      <c r="C7" s="268" t="s">
        <v>151</v>
      </c>
      <c r="D7" s="269" t="s">
        <v>558</v>
      </c>
      <c r="E7" s="270">
        <v>45292</v>
      </c>
      <c r="F7" s="270">
        <v>45657</v>
      </c>
      <c r="G7" s="274">
        <v>1816.57</v>
      </c>
      <c r="H7" s="276">
        <v>220</v>
      </c>
      <c r="I7" s="271">
        <v>23.68</v>
      </c>
      <c r="J7" s="271">
        <f t="shared" si="0"/>
        <v>11.84</v>
      </c>
      <c r="K7" s="275"/>
      <c r="L7" s="275"/>
      <c r="M7" s="273">
        <v>0.4</v>
      </c>
      <c r="N7" s="273" t="s">
        <v>405</v>
      </c>
      <c r="O7" s="273"/>
      <c r="P7" s="273">
        <v>0.06</v>
      </c>
      <c r="Q7" s="273">
        <v>0.19</v>
      </c>
      <c r="R7" s="271">
        <v>19.420000000000002</v>
      </c>
      <c r="S7" s="271"/>
      <c r="T7" s="369">
        <v>0.05</v>
      </c>
    </row>
    <row r="8" spans="1:20">
      <c r="A8" s="267" t="s">
        <v>386</v>
      </c>
      <c r="B8" s="275">
        <v>5134</v>
      </c>
      <c r="C8" s="268" t="s">
        <v>151</v>
      </c>
      <c r="D8" s="269" t="s">
        <v>558</v>
      </c>
      <c r="E8" s="270">
        <v>45292</v>
      </c>
      <c r="F8" s="270">
        <v>45657</v>
      </c>
      <c r="G8" s="274">
        <v>1540.51</v>
      </c>
      <c r="H8" s="276">
        <v>220</v>
      </c>
      <c r="I8" s="271">
        <v>23.68</v>
      </c>
      <c r="J8" s="271">
        <f t="shared" si="0"/>
        <v>11.84</v>
      </c>
      <c r="K8" s="267"/>
      <c r="L8" s="267"/>
      <c r="M8" s="273">
        <v>0.2</v>
      </c>
      <c r="N8" s="273" t="s">
        <v>405</v>
      </c>
      <c r="O8" s="273"/>
      <c r="P8" s="273">
        <v>0.06</v>
      </c>
      <c r="Q8" s="273">
        <v>0.19</v>
      </c>
      <c r="R8" s="271">
        <v>19.420000000000002</v>
      </c>
      <c r="S8" s="271"/>
      <c r="T8" s="369">
        <v>0.05</v>
      </c>
    </row>
    <row r="9" spans="1:20">
      <c r="A9" s="267" t="s">
        <v>349</v>
      </c>
      <c r="B9" s="275">
        <v>5132</v>
      </c>
      <c r="C9" s="268" t="s">
        <v>151</v>
      </c>
      <c r="D9" s="269" t="s">
        <v>558</v>
      </c>
      <c r="E9" s="270">
        <v>45292</v>
      </c>
      <c r="F9" s="270">
        <v>45657</v>
      </c>
      <c r="G9" s="274">
        <v>1617.44</v>
      </c>
      <c r="H9" s="276">
        <v>220</v>
      </c>
      <c r="I9" s="271">
        <v>23.68</v>
      </c>
      <c r="J9" s="271">
        <f t="shared" si="0"/>
        <v>11.84</v>
      </c>
      <c r="K9" s="267"/>
      <c r="L9" s="267"/>
      <c r="M9" s="273">
        <v>0.2</v>
      </c>
      <c r="N9" s="273" t="s">
        <v>405</v>
      </c>
      <c r="O9" s="273"/>
      <c r="P9" s="273">
        <v>0.06</v>
      </c>
      <c r="Q9" s="273">
        <v>0.19</v>
      </c>
      <c r="R9" s="271">
        <v>19.420000000000002</v>
      </c>
      <c r="S9" s="271"/>
      <c r="T9" s="369">
        <v>0.05</v>
      </c>
    </row>
    <row r="10" spans="1:20">
      <c r="A10" s="267" t="s">
        <v>385</v>
      </c>
      <c r="B10" s="275">
        <v>5143</v>
      </c>
      <c r="C10" s="268" t="s">
        <v>151</v>
      </c>
      <c r="D10" s="269" t="s">
        <v>558</v>
      </c>
      <c r="E10" s="270">
        <v>45292</v>
      </c>
      <c r="F10" s="270">
        <v>45657</v>
      </c>
      <c r="G10" s="274">
        <v>1540.51</v>
      </c>
      <c r="H10" s="276">
        <v>220</v>
      </c>
      <c r="I10" s="271">
        <v>23.68</v>
      </c>
      <c r="J10" s="271">
        <f t="shared" si="0"/>
        <v>11.84</v>
      </c>
      <c r="K10" s="267"/>
      <c r="L10" s="267"/>
      <c r="M10" s="273">
        <v>0.4</v>
      </c>
      <c r="N10" s="273" t="s">
        <v>405</v>
      </c>
      <c r="O10" s="273"/>
      <c r="P10" s="273">
        <v>0.06</v>
      </c>
      <c r="Q10" s="273">
        <v>0.19</v>
      </c>
      <c r="R10" s="271">
        <v>19.420000000000002</v>
      </c>
      <c r="S10" s="271"/>
      <c r="T10" s="369">
        <v>2.5000000000000001E-2</v>
      </c>
    </row>
    <row r="11" spans="1:20">
      <c r="A11" s="277" t="s">
        <v>335</v>
      </c>
      <c r="B11" s="275">
        <v>5174</v>
      </c>
      <c r="C11" s="268" t="s">
        <v>151</v>
      </c>
      <c r="D11" s="269" t="s">
        <v>558</v>
      </c>
      <c r="E11" s="270">
        <v>45292</v>
      </c>
      <c r="F11" s="270">
        <v>45657</v>
      </c>
      <c r="G11" s="274">
        <v>1854.91</v>
      </c>
      <c r="H11" s="276">
        <v>220</v>
      </c>
      <c r="I11" s="271">
        <v>23.68</v>
      </c>
      <c r="J11" s="271">
        <f t="shared" si="0"/>
        <v>11.84</v>
      </c>
      <c r="K11" s="267"/>
      <c r="L11" s="267"/>
      <c r="M11" s="273"/>
      <c r="N11" s="273" t="s">
        <v>405</v>
      </c>
      <c r="O11" s="273"/>
      <c r="P11" s="273">
        <v>0.06</v>
      </c>
      <c r="Q11" s="273">
        <v>0.19</v>
      </c>
      <c r="R11" s="271">
        <v>19.420000000000002</v>
      </c>
      <c r="S11" s="271"/>
      <c r="T11" s="369">
        <v>2.5000000000000001E-2</v>
      </c>
    </row>
    <row r="12" spans="1:20">
      <c r="A12" s="277" t="s">
        <v>383</v>
      </c>
      <c r="B12" s="275">
        <v>4221</v>
      </c>
      <c r="C12" s="268" t="s">
        <v>151</v>
      </c>
      <c r="D12" s="269" t="s">
        <v>558</v>
      </c>
      <c r="E12" s="270">
        <v>45292</v>
      </c>
      <c r="F12" s="270">
        <v>45657</v>
      </c>
      <c r="G12" s="274">
        <v>1741.66</v>
      </c>
      <c r="H12" s="276">
        <v>220</v>
      </c>
      <c r="I12" s="271">
        <v>23.68</v>
      </c>
      <c r="J12" s="271">
        <f t="shared" si="0"/>
        <v>11.84</v>
      </c>
      <c r="K12" s="267"/>
      <c r="L12" s="267"/>
      <c r="M12" s="273"/>
      <c r="N12" s="273" t="s">
        <v>405</v>
      </c>
      <c r="O12" s="273"/>
      <c r="P12" s="273">
        <v>0.06</v>
      </c>
      <c r="Q12" s="273">
        <v>0.19</v>
      </c>
      <c r="R12" s="271">
        <v>19.420000000000002</v>
      </c>
      <c r="S12" s="271"/>
      <c r="T12" s="369">
        <v>2.5000000000000001E-2</v>
      </c>
    </row>
    <row r="13" spans="1:20">
      <c r="A13" s="267" t="s">
        <v>382</v>
      </c>
      <c r="B13" s="275">
        <v>5142</v>
      </c>
      <c r="C13" s="268" t="s">
        <v>151</v>
      </c>
      <c r="D13" s="269" t="s">
        <v>558</v>
      </c>
      <c r="E13" s="270">
        <v>45292</v>
      </c>
      <c r="F13" s="270">
        <v>45657</v>
      </c>
      <c r="G13" s="274">
        <v>1570.01</v>
      </c>
      <c r="H13" s="276">
        <v>220</v>
      </c>
      <c r="I13" s="271">
        <v>23.68</v>
      </c>
      <c r="J13" s="271">
        <f t="shared" si="0"/>
        <v>11.84</v>
      </c>
      <c r="K13" s="267"/>
      <c r="L13" s="267"/>
      <c r="M13" s="273">
        <v>0.2</v>
      </c>
      <c r="N13" s="273" t="s">
        <v>405</v>
      </c>
      <c r="O13" s="273"/>
      <c r="P13" s="273">
        <v>0.06</v>
      </c>
      <c r="Q13" s="273">
        <v>0.19</v>
      </c>
      <c r="R13" s="271">
        <v>19.420000000000002</v>
      </c>
      <c r="S13" s="271"/>
      <c r="T13" s="369">
        <v>2.5000000000000001E-2</v>
      </c>
    </row>
    <row r="14" spans="1:20">
      <c r="A14" s="277" t="s">
        <v>392</v>
      </c>
      <c r="B14" s="275">
        <v>5143</v>
      </c>
      <c r="C14" s="268" t="s">
        <v>151</v>
      </c>
      <c r="D14" s="269" t="s">
        <v>558</v>
      </c>
      <c r="E14" s="270">
        <v>45292</v>
      </c>
      <c r="F14" s="270">
        <v>45657</v>
      </c>
      <c r="G14" s="274">
        <v>1957.46</v>
      </c>
      <c r="H14" s="276">
        <v>220</v>
      </c>
      <c r="I14" s="271">
        <v>23.68</v>
      </c>
      <c r="J14" s="271">
        <f t="shared" si="0"/>
        <v>11.84</v>
      </c>
      <c r="K14" s="267"/>
      <c r="L14" s="267"/>
      <c r="M14" s="273"/>
      <c r="N14" s="273" t="s">
        <v>405</v>
      </c>
      <c r="O14" s="273">
        <v>0.3</v>
      </c>
      <c r="P14" s="273">
        <v>0.06</v>
      </c>
      <c r="Q14" s="273">
        <v>0.19</v>
      </c>
      <c r="R14" s="271">
        <v>19.420000000000002</v>
      </c>
      <c r="S14" s="271"/>
      <c r="T14" s="369">
        <v>2.5000000000000001E-2</v>
      </c>
    </row>
    <row r="15" spans="1:20">
      <c r="A15" s="277" t="s">
        <v>393</v>
      </c>
      <c r="B15" s="275">
        <v>4227</v>
      </c>
      <c r="C15" s="268" t="s">
        <v>151</v>
      </c>
      <c r="D15" s="269" t="s">
        <v>558</v>
      </c>
      <c r="E15" s="270">
        <v>45292</v>
      </c>
      <c r="F15" s="270">
        <v>45657</v>
      </c>
      <c r="G15" s="274">
        <v>1854.91</v>
      </c>
      <c r="H15" s="276">
        <v>220</v>
      </c>
      <c r="I15" s="271">
        <v>23.68</v>
      </c>
      <c r="J15" s="271">
        <f t="shared" si="0"/>
        <v>11.84</v>
      </c>
      <c r="K15" s="267"/>
      <c r="L15" s="267"/>
      <c r="M15" s="273"/>
      <c r="N15" s="273" t="s">
        <v>405</v>
      </c>
      <c r="O15" s="273"/>
      <c r="P15" s="273">
        <v>0.06</v>
      </c>
      <c r="Q15" s="273">
        <v>0.19</v>
      </c>
      <c r="R15" s="271">
        <v>19.420000000000002</v>
      </c>
      <c r="S15" s="271"/>
      <c r="T15" s="369">
        <v>0.05</v>
      </c>
    </row>
    <row r="16" spans="1:20">
      <c r="A16" s="277" t="s">
        <v>394</v>
      </c>
      <c r="B16" s="275">
        <v>4222</v>
      </c>
      <c r="C16" s="268" t="s">
        <v>151</v>
      </c>
      <c r="D16" s="269" t="s">
        <v>558</v>
      </c>
      <c r="E16" s="270">
        <v>45292</v>
      </c>
      <c r="F16" s="270">
        <v>45657</v>
      </c>
      <c r="G16" s="274">
        <v>1741.66</v>
      </c>
      <c r="H16" s="276">
        <v>180</v>
      </c>
      <c r="I16" s="271"/>
      <c r="J16" s="271">
        <v>11.84</v>
      </c>
      <c r="K16" s="267"/>
      <c r="L16" s="267"/>
      <c r="M16" s="273"/>
      <c r="N16" s="273" t="s">
        <v>405</v>
      </c>
      <c r="O16" s="273"/>
      <c r="P16" s="273">
        <v>0.06</v>
      </c>
      <c r="Q16" s="273">
        <v>0.19</v>
      </c>
      <c r="R16" s="271">
        <v>19.420000000000002</v>
      </c>
      <c r="S16" s="271"/>
      <c r="T16" s="369">
        <v>0.05</v>
      </c>
    </row>
    <row r="17" spans="1:20">
      <c r="A17" s="277" t="s">
        <v>379</v>
      </c>
      <c r="B17" s="275">
        <v>5173</v>
      </c>
      <c r="C17" s="268" t="s">
        <v>380</v>
      </c>
      <c r="D17" s="269" t="s">
        <v>588</v>
      </c>
      <c r="E17" s="270">
        <v>45323</v>
      </c>
      <c r="F17" s="270">
        <v>45688</v>
      </c>
      <c r="G17" s="274">
        <v>1977.8</v>
      </c>
      <c r="H17" s="276">
        <v>220</v>
      </c>
      <c r="I17" s="271">
        <v>27</v>
      </c>
      <c r="J17" s="271"/>
      <c r="K17" s="267"/>
      <c r="L17" s="278">
        <f>G17/H17*1.3/6</f>
        <v>1.9478333333333335</v>
      </c>
      <c r="M17" s="273"/>
      <c r="N17" s="273" t="s">
        <v>404</v>
      </c>
      <c r="O17" s="273">
        <v>0.3</v>
      </c>
      <c r="P17" s="273">
        <v>0.06</v>
      </c>
      <c r="Q17" s="273">
        <v>0.2</v>
      </c>
      <c r="R17" s="271"/>
      <c r="S17" s="271">
        <v>19.420000000000002</v>
      </c>
      <c r="T17" s="369">
        <v>2.5000000000000001E-2</v>
      </c>
    </row>
    <row r="18" spans="1:20">
      <c r="A18" s="277" t="s">
        <v>375</v>
      </c>
      <c r="B18" s="275">
        <v>7823</v>
      </c>
      <c r="C18" s="268" t="s">
        <v>376</v>
      </c>
      <c r="D18" s="269" t="s">
        <v>398</v>
      </c>
      <c r="E18" s="270">
        <v>44470</v>
      </c>
      <c r="F18" s="270">
        <v>44834</v>
      </c>
      <c r="G18" s="274">
        <f>1698*1.06</f>
        <v>1799.88</v>
      </c>
      <c r="H18" s="276">
        <v>220</v>
      </c>
      <c r="I18" s="271">
        <f>21.1*1.06</f>
        <v>22.366000000000003</v>
      </c>
      <c r="J18" s="271"/>
      <c r="K18" s="267"/>
      <c r="L18" s="267"/>
      <c r="M18" s="273"/>
      <c r="N18" s="273" t="s">
        <v>404</v>
      </c>
      <c r="O18" s="273"/>
      <c r="P18" s="273">
        <v>0.06</v>
      </c>
      <c r="Q18" s="273">
        <v>0.2</v>
      </c>
      <c r="R18" s="271"/>
      <c r="S18" s="271">
        <v>19.420000000000002</v>
      </c>
      <c r="T18" s="369">
        <v>2.5000000000000001E-2</v>
      </c>
    </row>
    <row r="19" spans="1:20">
      <c r="A19" s="277" t="s">
        <v>374</v>
      </c>
      <c r="B19" s="275">
        <v>7823</v>
      </c>
      <c r="C19" s="268" t="s">
        <v>376</v>
      </c>
      <c r="D19" s="269" t="s">
        <v>398</v>
      </c>
      <c r="E19" s="270">
        <v>44470</v>
      </c>
      <c r="F19" s="270">
        <v>44834</v>
      </c>
      <c r="G19" s="274">
        <f>1753*1.06</f>
        <v>1858.18</v>
      </c>
      <c r="H19" s="276">
        <v>220</v>
      </c>
      <c r="I19" s="271">
        <f>21.1*1.06</f>
        <v>22.366000000000003</v>
      </c>
      <c r="J19" s="271"/>
      <c r="K19" s="267"/>
      <c r="L19" s="267"/>
      <c r="M19" s="273"/>
      <c r="N19" s="273" t="s">
        <v>404</v>
      </c>
      <c r="O19" s="273"/>
      <c r="P19" s="273">
        <v>0.06</v>
      </c>
      <c r="Q19" s="273">
        <v>0.2</v>
      </c>
      <c r="R19" s="271"/>
      <c r="S19" s="271">
        <v>19.420000000000002</v>
      </c>
      <c r="T19" s="369">
        <v>2.5000000000000001E-2</v>
      </c>
    </row>
    <row r="20" spans="1:20">
      <c r="A20" s="267" t="s">
        <v>519</v>
      </c>
      <c r="B20" s="275">
        <v>7825</v>
      </c>
      <c r="C20" s="268" t="s">
        <v>376</v>
      </c>
      <c r="D20" s="269" t="s">
        <v>398</v>
      </c>
      <c r="E20" s="270">
        <v>44470</v>
      </c>
      <c r="F20" s="270">
        <v>44834</v>
      </c>
      <c r="G20" s="274">
        <f>1724*1.06</f>
        <v>1827.44</v>
      </c>
      <c r="H20" s="276">
        <v>220</v>
      </c>
      <c r="I20" s="271">
        <f>21.1*1.06</f>
        <v>22.366000000000003</v>
      </c>
      <c r="J20" s="271"/>
      <c r="K20" s="267"/>
      <c r="L20" s="267"/>
      <c r="M20" s="273"/>
      <c r="N20" s="273" t="s">
        <v>404</v>
      </c>
      <c r="O20" s="273"/>
      <c r="P20" s="273">
        <v>0.06</v>
      </c>
      <c r="Q20" s="273">
        <v>0.2</v>
      </c>
      <c r="R20" s="271"/>
      <c r="S20" s="271">
        <v>19.420000000000002</v>
      </c>
      <c r="T20" s="369">
        <v>2.5000000000000001E-2</v>
      </c>
    </row>
    <row r="21" spans="1:20">
      <c r="A21" s="279" t="s">
        <v>520</v>
      </c>
      <c r="B21" s="288">
        <v>7825</v>
      </c>
      <c r="C21" s="280" t="s">
        <v>376</v>
      </c>
      <c r="D21" s="281" t="s">
        <v>398</v>
      </c>
      <c r="E21" s="282">
        <v>44470</v>
      </c>
      <c r="F21" s="282">
        <v>44834</v>
      </c>
      <c r="G21" s="283">
        <f>1767*1.06</f>
        <v>1873.02</v>
      </c>
      <c r="H21" s="284">
        <v>220</v>
      </c>
      <c r="I21" s="285">
        <f>21.1*1.06</f>
        <v>22.366000000000003</v>
      </c>
      <c r="J21" s="285"/>
      <c r="K21" s="286"/>
      <c r="L21" s="286"/>
      <c r="M21" s="287"/>
      <c r="N21" s="287" t="s">
        <v>404</v>
      </c>
      <c r="O21" s="287"/>
      <c r="P21" s="287">
        <v>0.06</v>
      </c>
      <c r="Q21" s="287">
        <v>0.2</v>
      </c>
      <c r="R21" s="285"/>
      <c r="S21" s="285">
        <v>19.420000000000002</v>
      </c>
      <c r="T21" s="474">
        <v>2.5000000000000001E-2</v>
      </c>
    </row>
    <row r="22" spans="1:20">
      <c r="A22"/>
      <c r="E22" s="56"/>
      <c r="F22" s="56"/>
      <c r="R22" s="61"/>
      <c r="S22" s="61"/>
      <c r="T22" s="61"/>
    </row>
    <row r="23" spans="1:20">
      <c r="C23"/>
      <c r="E23" s="56"/>
      <c r="F23" s="56"/>
      <c r="R23" s="61"/>
      <c r="S23" s="61"/>
      <c r="T23" s="61"/>
    </row>
    <row r="24" spans="1:20">
      <c r="E24" s="56"/>
      <c r="F24" s="56"/>
      <c r="R24" s="61"/>
      <c r="S24" s="61"/>
      <c r="T24" s="61"/>
    </row>
    <row r="25" spans="1:20">
      <c r="C25"/>
      <c r="E25" s="56"/>
      <c r="F25" s="56"/>
      <c r="R25" s="61"/>
      <c r="S25" s="61"/>
      <c r="T25" s="61"/>
    </row>
    <row r="26" spans="1:20">
      <c r="A26"/>
      <c r="I26"/>
    </row>
    <row r="27" spans="1:20">
      <c r="I27"/>
    </row>
    <row r="28" spans="1:20">
      <c r="A28"/>
      <c r="I28"/>
    </row>
    <row r="29" spans="1:20">
      <c r="A29"/>
      <c r="I29"/>
    </row>
    <row r="30" spans="1:20">
      <c r="B30" s="289"/>
      <c r="C30"/>
      <c r="E30" s="56"/>
      <c r="F30" s="56"/>
    </row>
    <row r="31" spans="1:20">
      <c r="I31"/>
    </row>
    <row r="32" spans="1:20">
      <c r="C32"/>
      <c r="E32" s="56"/>
      <c r="F32" s="56"/>
    </row>
    <row r="33" spans="1:9">
      <c r="B33" s="289"/>
      <c r="C33"/>
      <c r="E33" s="56"/>
      <c r="F33" s="56"/>
    </row>
    <row r="34" spans="1:9">
      <c r="A34"/>
      <c r="E34" s="56"/>
      <c r="F34" s="56"/>
      <c r="I34"/>
    </row>
    <row r="35" spans="1:9">
      <c r="A35"/>
      <c r="E35" s="56"/>
      <c r="F35" s="56"/>
      <c r="I35"/>
    </row>
    <row r="36" spans="1:9">
      <c r="A36"/>
      <c r="I36"/>
    </row>
    <row r="37" spans="1:9">
      <c r="A37"/>
      <c r="I37"/>
    </row>
    <row r="38" spans="1:9">
      <c r="A38"/>
      <c r="C38"/>
      <c r="I38"/>
    </row>
    <row r="39" spans="1:9">
      <c r="C39"/>
      <c r="I39"/>
    </row>
    <row r="40" spans="1:9">
      <c r="A40"/>
      <c r="I40"/>
    </row>
    <row r="41" spans="1:9">
      <c r="A41"/>
      <c r="I41"/>
    </row>
    <row r="42" spans="1:9">
      <c r="A42"/>
      <c r="I42"/>
    </row>
    <row r="43" spans="1:9">
      <c r="E43" s="56"/>
      <c r="F43" s="56"/>
      <c r="I43"/>
    </row>
    <row r="44" spans="1:9">
      <c r="I44"/>
    </row>
    <row r="45" spans="1:9">
      <c r="B45" s="289"/>
      <c r="C45"/>
      <c r="I45"/>
    </row>
    <row r="46" spans="1:9">
      <c r="A46"/>
      <c r="C46"/>
      <c r="E46" s="56"/>
      <c r="F46" s="56"/>
      <c r="I46"/>
    </row>
    <row r="47" spans="1:9">
      <c r="C47"/>
      <c r="E47" s="56"/>
      <c r="F47" s="56"/>
      <c r="I47"/>
    </row>
    <row r="48" spans="1:9">
      <c r="A48"/>
      <c r="C48"/>
      <c r="E48" s="56"/>
      <c r="F48" s="56"/>
      <c r="I48"/>
    </row>
    <row r="49" spans="1:9">
      <c r="C49"/>
      <c r="E49" s="56"/>
      <c r="F49" s="56"/>
      <c r="I49"/>
    </row>
    <row r="50" spans="1:9">
      <c r="C50"/>
      <c r="E50" s="56"/>
      <c r="F50" s="56"/>
      <c r="I50"/>
    </row>
    <row r="51" spans="1:9">
      <c r="C51"/>
      <c r="E51" s="56"/>
      <c r="F51" s="56"/>
      <c r="I51"/>
    </row>
    <row r="52" spans="1:9">
      <c r="C52"/>
      <c r="E52" s="56"/>
      <c r="F52" s="56"/>
      <c r="I52"/>
    </row>
    <row r="53" spans="1:9">
      <c r="C53"/>
      <c r="E53" s="56"/>
      <c r="F53" s="56"/>
      <c r="I53"/>
    </row>
    <row r="54" spans="1:9">
      <c r="E54" s="56"/>
      <c r="F54" s="56"/>
      <c r="I54"/>
    </row>
    <row r="55" spans="1:9">
      <c r="C55"/>
      <c r="E55" s="56"/>
      <c r="F55" s="56"/>
      <c r="I55"/>
    </row>
    <row r="56" spans="1:9">
      <c r="A56"/>
      <c r="C56"/>
      <c r="E56" s="56"/>
      <c r="F56" s="56"/>
      <c r="I56"/>
    </row>
    <row r="57" spans="1:9">
      <c r="C57"/>
      <c r="E57" s="56"/>
      <c r="F57" s="56"/>
      <c r="I57"/>
    </row>
    <row r="58" spans="1:9">
      <c r="C58"/>
      <c r="E58" s="56"/>
      <c r="F58" s="56"/>
      <c r="I58"/>
    </row>
    <row r="59" spans="1:9">
      <c r="A59"/>
      <c r="C59"/>
      <c r="E59" s="56"/>
      <c r="F59" s="56"/>
      <c r="I59"/>
    </row>
    <row r="60" spans="1:9">
      <c r="A60"/>
      <c r="I60"/>
    </row>
    <row r="61" spans="1:9">
      <c r="A61"/>
      <c r="I61"/>
    </row>
    <row r="62" spans="1:9">
      <c r="A62"/>
      <c r="I62"/>
    </row>
    <row r="63" spans="1:9">
      <c r="A63" s="58"/>
      <c r="B63" s="289"/>
      <c r="C63" s="57"/>
      <c r="E63" s="56"/>
      <c r="F63" s="56"/>
    </row>
    <row r="64" spans="1:9">
      <c r="A64" s="58"/>
      <c r="B64" s="289"/>
      <c r="C64" s="57"/>
      <c r="E64" s="56"/>
      <c r="F64" s="56"/>
    </row>
    <row r="65" spans="1:9">
      <c r="C65"/>
      <c r="E65" s="56"/>
      <c r="F65" s="56"/>
    </row>
    <row r="66" spans="1:9">
      <c r="C66"/>
      <c r="E66" s="56"/>
      <c r="F66" s="56"/>
    </row>
    <row r="67" spans="1:9">
      <c r="C67"/>
      <c r="E67" s="56"/>
      <c r="F67" s="56"/>
    </row>
    <row r="68" spans="1:9">
      <c r="A68"/>
      <c r="E68" s="56"/>
      <c r="F68" s="56"/>
    </row>
    <row r="69" spans="1:9">
      <c r="A69"/>
      <c r="C69"/>
      <c r="E69" s="56"/>
      <c r="F69" s="56"/>
      <c r="I69"/>
    </row>
    <row r="70" spans="1:9">
      <c r="E70" s="56"/>
      <c r="F70" s="56"/>
    </row>
    <row r="71" spans="1:9">
      <c r="E71" s="56"/>
      <c r="F71" s="56"/>
    </row>
    <row r="72" spans="1:9">
      <c r="C72"/>
      <c r="E72" s="56"/>
      <c r="F72" s="56"/>
    </row>
    <row r="73" spans="1:9">
      <c r="E73" s="56"/>
      <c r="F73" s="56"/>
    </row>
    <row r="74" spans="1:9">
      <c r="E74" s="56"/>
      <c r="F74" s="56"/>
    </row>
    <row r="75" spans="1:9">
      <c r="E75" s="56"/>
      <c r="F75" s="56"/>
    </row>
    <row r="76" spans="1:9">
      <c r="A76"/>
      <c r="B76" s="289"/>
      <c r="E76" s="56"/>
      <c r="F76" s="56"/>
    </row>
    <row r="77" spans="1:9">
      <c r="E77" s="56"/>
      <c r="F77" s="56"/>
    </row>
    <row r="78" spans="1:9">
      <c r="A78"/>
      <c r="C78" s="57"/>
      <c r="E78" s="56"/>
      <c r="F78" s="56"/>
    </row>
    <row r="79" spans="1:9">
      <c r="C79"/>
      <c r="E79" s="56"/>
      <c r="F79" s="56"/>
      <c r="I79"/>
    </row>
    <row r="80" spans="1:9">
      <c r="C80"/>
      <c r="E80" s="56"/>
      <c r="F80" s="56"/>
      <c r="I80"/>
    </row>
    <row r="81" spans="1:10">
      <c r="A81"/>
      <c r="I81"/>
    </row>
    <row r="82" spans="1:10">
      <c r="A82"/>
      <c r="I82"/>
    </row>
    <row r="83" spans="1:10">
      <c r="A83"/>
      <c r="I83"/>
    </row>
    <row r="84" spans="1:10">
      <c r="A84"/>
      <c r="C84"/>
      <c r="I84"/>
    </row>
    <row r="85" spans="1:10">
      <c r="C85"/>
      <c r="E85" s="56"/>
      <c r="F85" s="56"/>
      <c r="I85"/>
    </row>
    <row r="86" spans="1:10">
      <c r="A86"/>
      <c r="I86"/>
    </row>
    <row r="87" spans="1:10">
      <c r="A87"/>
      <c r="I87"/>
    </row>
    <row r="88" spans="1:10">
      <c r="A88"/>
      <c r="C88" s="57"/>
      <c r="E88" s="56"/>
      <c r="F88" s="56"/>
    </row>
    <row r="89" spans="1:10">
      <c r="A89" s="58"/>
      <c r="C89"/>
      <c r="E89" s="56"/>
      <c r="F89" s="56"/>
      <c r="I89"/>
    </row>
    <row r="90" spans="1:10">
      <c r="A90" s="58"/>
      <c r="C90"/>
      <c r="E90" s="56"/>
      <c r="F90" s="56"/>
      <c r="I90"/>
    </row>
    <row r="91" spans="1:10">
      <c r="C91"/>
      <c r="E91" s="56"/>
      <c r="F91" s="56"/>
      <c r="I91"/>
    </row>
    <row r="92" spans="1:10">
      <c r="A92" s="52"/>
      <c r="D92" s="2"/>
      <c r="E92" s="55"/>
      <c r="F92" s="55"/>
      <c r="G92" s="54"/>
      <c r="H92" s="60"/>
      <c r="I92" s="54"/>
      <c r="J92" s="2"/>
    </row>
    <row r="93" spans="1:10">
      <c r="A93" s="52"/>
      <c r="D93" s="2"/>
      <c r="E93" s="55"/>
      <c r="F93" s="55"/>
      <c r="G93" s="54"/>
      <c r="H93" s="60"/>
      <c r="I93" s="54"/>
      <c r="J93" s="2"/>
    </row>
    <row r="94" spans="1:10">
      <c r="A94" s="52"/>
      <c r="D94" s="2"/>
      <c r="E94" s="55"/>
      <c r="F94" s="55"/>
      <c r="G94" s="54"/>
      <c r="H94" s="60"/>
      <c r="I94" s="54"/>
      <c r="J94" s="2"/>
    </row>
    <row r="95" spans="1:10">
      <c r="A95" s="52"/>
      <c r="D95" s="2"/>
      <c r="E95" s="55"/>
      <c r="F95" s="55"/>
      <c r="G95" s="54"/>
      <c r="H95" s="60"/>
      <c r="I95" s="54"/>
      <c r="J95" s="2"/>
    </row>
    <row r="96" spans="1:10">
      <c r="A96"/>
    </row>
    <row r="97" spans="1:10">
      <c r="A97"/>
    </row>
    <row r="98" spans="1:10">
      <c r="A98"/>
    </row>
    <row r="99" spans="1:10">
      <c r="A99"/>
    </row>
    <row r="100" spans="1:10">
      <c r="A100"/>
    </row>
    <row r="101" spans="1:10">
      <c r="A101"/>
    </row>
    <row r="102" spans="1:10">
      <c r="A102"/>
    </row>
    <row r="103" spans="1:10" s="53" customFormat="1">
      <c r="A103"/>
      <c r="B103" s="2"/>
      <c r="D103"/>
      <c r="E103"/>
      <c r="F103"/>
      <c r="G103" s="38"/>
      <c r="H103" s="63"/>
      <c r="I103" s="38"/>
      <c r="J103"/>
    </row>
    <row r="104" spans="1:10" s="53" customFormat="1">
      <c r="A104"/>
      <c r="B104" s="2"/>
      <c r="D104"/>
      <c r="E104"/>
      <c r="F104"/>
      <c r="G104" s="38"/>
      <c r="H104" s="63"/>
      <c r="I104" s="38"/>
      <c r="J104"/>
    </row>
    <row r="105" spans="1:10" s="53" customFormat="1">
      <c r="A105"/>
      <c r="B105" s="2"/>
      <c r="D105"/>
      <c r="E105"/>
      <c r="F105"/>
      <c r="G105" s="38"/>
      <c r="H105" s="63"/>
      <c r="I105" s="38"/>
      <c r="J105"/>
    </row>
    <row r="106" spans="1:10" s="53" customFormat="1">
      <c r="A106"/>
      <c r="B106" s="2"/>
      <c r="D106"/>
      <c r="E106"/>
      <c r="F106"/>
      <c r="G106" s="38"/>
      <c r="H106" s="63"/>
      <c r="I106" s="38"/>
      <c r="J106"/>
    </row>
    <row r="107" spans="1:10" s="53" customFormat="1">
      <c r="A107"/>
      <c r="B107" s="2"/>
      <c r="D107"/>
      <c r="E107"/>
      <c r="F107"/>
      <c r="G107" s="38"/>
      <c r="H107" s="63"/>
      <c r="I107" s="38"/>
      <c r="J107"/>
    </row>
    <row r="108" spans="1:10" s="53" customFormat="1">
      <c r="A108"/>
      <c r="B108" s="2"/>
      <c r="D108"/>
      <c r="E108"/>
      <c r="F108"/>
      <c r="G108" s="38"/>
      <c r="H108" s="63"/>
      <c r="I108" s="38"/>
      <c r="J108"/>
    </row>
    <row r="109" spans="1:10" s="53" customFormat="1">
      <c r="A109"/>
      <c r="B109" s="2"/>
      <c r="D109"/>
      <c r="E109"/>
      <c r="F109"/>
      <c r="G109" s="38"/>
      <c r="H109" s="63"/>
      <c r="I109" s="38"/>
      <c r="J109"/>
    </row>
    <row r="110" spans="1:10" s="53" customFormat="1">
      <c r="A110"/>
      <c r="B110" s="2"/>
      <c r="D110"/>
      <c r="E110"/>
      <c r="F110"/>
      <c r="G110" s="38"/>
      <c r="H110" s="63"/>
      <c r="I110" s="38"/>
      <c r="J110"/>
    </row>
    <row r="111" spans="1:10" s="53" customFormat="1">
      <c r="A111"/>
      <c r="B111" s="2"/>
      <c r="D111"/>
      <c r="E111"/>
      <c r="F111"/>
      <c r="G111" s="38"/>
      <c r="H111" s="63"/>
      <c r="I111" s="38"/>
      <c r="J111"/>
    </row>
    <row r="112" spans="1:10" s="53" customFormat="1">
      <c r="A112"/>
      <c r="B112" s="2"/>
      <c r="D112"/>
      <c r="E112"/>
      <c r="F112"/>
      <c r="G112" s="38"/>
      <c r="H112" s="63"/>
      <c r="I112" s="38"/>
      <c r="J112"/>
    </row>
    <row r="113" spans="1:10" s="53" customFormat="1">
      <c r="A113"/>
      <c r="B113" s="2"/>
      <c r="D113"/>
      <c r="E113"/>
      <c r="F113"/>
      <c r="G113" s="38"/>
      <c r="H113" s="63"/>
      <c r="I113" s="38"/>
      <c r="J113"/>
    </row>
    <row r="114" spans="1:10" s="53" customFormat="1">
      <c r="A114"/>
      <c r="B114" s="2"/>
      <c r="D114"/>
      <c r="E114"/>
      <c r="F114"/>
      <c r="G114" s="38"/>
      <c r="H114" s="63"/>
      <c r="I114" s="38"/>
      <c r="J114"/>
    </row>
    <row r="115" spans="1:10" s="53" customFormat="1">
      <c r="A115"/>
      <c r="B115" s="2"/>
      <c r="D115"/>
      <c r="E115"/>
      <c r="F115"/>
      <c r="G115" s="38"/>
      <c r="H115" s="63"/>
      <c r="I115" s="38"/>
      <c r="J115"/>
    </row>
    <row r="116" spans="1:10" s="53" customFormat="1">
      <c r="A116"/>
      <c r="B116" s="2"/>
      <c r="D116"/>
      <c r="E116"/>
      <c r="F116"/>
      <c r="G116" s="38"/>
      <c r="H116" s="63"/>
      <c r="I116" s="38"/>
      <c r="J116"/>
    </row>
    <row r="117" spans="1:10" s="53" customFormat="1">
      <c r="A117"/>
      <c r="B117" s="2"/>
      <c r="D117"/>
      <c r="E117"/>
      <c r="F117"/>
      <c r="G117" s="38"/>
      <c r="H117" s="63"/>
      <c r="I117" s="38"/>
      <c r="J117"/>
    </row>
    <row r="118" spans="1:10" s="53" customFormat="1">
      <c r="A118"/>
      <c r="B118" s="2"/>
      <c r="D118"/>
      <c r="E118"/>
      <c r="F118"/>
      <c r="G118" s="38"/>
      <c r="H118" s="63"/>
      <c r="I118" s="38"/>
      <c r="J118"/>
    </row>
    <row r="119" spans="1:10" s="53" customFormat="1">
      <c r="A119"/>
      <c r="B119" s="2"/>
      <c r="D119"/>
      <c r="E119"/>
      <c r="F119"/>
      <c r="G119" s="38"/>
      <c r="H119" s="63"/>
      <c r="I119" s="38"/>
      <c r="J119"/>
    </row>
    <row r="120" spans="1:10" s="53" customFormat="1">
      <c r="A120"/>
      <c r="B120" s="2"/>
      <c r="D120"/>
      <c r="E120"/>
      <c r="F120"/>
      <c r="G120" s="38"/>
      <c r="H120" s="63"/>
      <c r="I120" s="38"/>
      <c r="J120"/>
    </row>
    <row r="121" spans="1:10" s="53" customFormat="1">
      <c r="A121"/>
      <c r="B121" s="2"/>
      <c r="D121"/>
      <c r="E121"/>
      <c r="F121"/>
      <c r="G121" s="38"/>
      <c r="H121" s="63"/>
      <c r="I121" s="38"/>
      <c r="J121"/>
    </row>
    <row r="122" spans="1:10" s="53" customFormat="1">
      <c r="A122"/>
      <c r="B122" s="2"/>
      <c r="D122"/>
      <c r="E122"/>
      <c r="F122"/>
      <c r="G122" s="38"/>
      <c r="H122" s="63"/>
      <c r="I122" s="38"/>
      <c r="J122"/>
    </row>
    <row r="123" spans="1:10" s="53" customFormat="1">
      <c r="A123"/>
      <c r="B123" s="2"/>
      <c r="D123"/>
      <c r="E123"/>
      <c r="F123"/>
      <c r="G123" s="38"/>
      <c r="H123" s="63"/>
      <c r="I123" s="38"/>
      <c r="J123"/>
    </row>
    <row r="124" spans="1:10" s="53" customFormat="1">
      <c r="A124"/>
      <c r="B124" s="2"/>
      <c r="D124"/>
      <c r="E124"/>
      <c r="F124"/>
      <c r="G124" s="38"/>
      <c r="H124" s="63"/>
      <c r="I124" s="38"/>
      <c r="J124"/>
    </row>
    <row r="125" spans="1:10" s="53" customFormat="1">
      <c r="A125"/>
      <c r="B125" s="2"/>
      <c r="D125"/>
      <c r="E125"/>
      <c r="F125"/>
      <c r="G125" s="38"/>
      <c r="H125" s="63"/>
      <c r="I125" s="38"/>
      <c r="J125"/>
    </row>
    <row r="126" spans="1:10" s="53" customFormat="1">
      <c r="A126"/>
      <c r="B126" s="2"/>
      <c r="D126"/>
      <c r="E126"/>
      <c r="F126"/>
      <c r="G126" s="38"/>
      <c r="H126" s="63"/>
      <c r="I126" s="38"/>
      <c r="J126"/>
    </row>
    <row r="127" spans="1:10" s="53" customFormat="1">
      <c r="A127"/>
      <c r="B127" s="2"/>
      <c r="D127"/>
      <c r="E127"/>
      <c r="F127"/>
      <c r="G127" s="38"/>
      <c r="H127" s="63"/>
      <c r="I127" s="38"/>
      <c r="J127"/>
    </row>
    <row r="128" spans="1:10" s="53" customFormat="1">
      <c r="A128"/>
      <c r="B128" s="2"/>
      <c r="D128"/>
      <c r="E128"/>
      <c r="F128"/>
      <c r="G128" s="38"/>
      <c r="H128" s="63"/>
      <c r="I128" s="38"/>
      <c r="J128"/>
    </row>
    <row r="129" spans="1:10" s="53" customFormat="1">
      <c r="A129"/>
      <c r="B129" s="2"/>
      <c r="D129"/>
      <c r="E129"/>
      <c r="F129"/>
      <c r="G129" s="38"/>
      <c r="H129" s="63"/>
      <c r="I129" s="38"/>
      <c r="J129"/>
    </row>
    <row r="130" spans="1:10" s="53" customFormat="1">
      <c r="A130"/>
      <c r="B130" s="2"/>
      <c r="D130"/>
      <c r="E130"/>
      <c r="F130"/>
      <c r="G130" s="38"/>
      <c r="H130" s="63"/>
      <c r="I130" s="38"/>
      <c r="J130"/>
    </row>
    <row r="131" spans="1:10" s="53" customFormat="1">
      <c r="A131"/>
      <c r="B131" s="2"/>
      <c r="D131"/>
      <c r="E131"/>
      <c r="F131"/>
      <c r="G131" s="38"/>
      <c r="H131" s="63"/>
      <c r="I131" s="38"/>
      <c r="J131"/>
    </row>
    <row r="132" spans="1:10" s="53" customFormat="1">
      <c r="A132"/>
      <c r="B132" s="2"/>
      <c r="D132"/>
      <c r="E132"/>
      <c r="F132"/>
      <c r="G132" s="38"/>
      <c r="H132" s="63"/>
      <c r="I132" s="38"/>
      <c r="J132"/>
    </row>
    <row r="133" spans="1:10" s="53" customFormat="1">
      <c r="A133"/>
      <c r="B133" s="2"/>
      <c r="D133"/>
      <c r="E133"/>
      <c r="F133"/>
      <c r="G133" s="38"/>
      <c r="H133" s="63"/>
      <c r="I133" s="38"/>
      <c r="J133"/>
    </row>
    <row r="134" spans="1:10" s="53" customFormat="1">
      <c r="A134"/>
      <c r="B134" s="2"/>
      <c r="D134"/>
      <c r="E134"/>
      <c r="F134"/>
      <c r="G134" s="38"/>
      <c r="H134" s="63"/>
      <c r="I134" s="38"/>
      <c r="J134"/>
    </row>
    <row r="135" spans="1:10" s="53" customFormat="1">
      <c r="A135"/>
      <c r="B135" s="2"/>
      <c r="D135"/>
      <c r="E135"/>
      <c r="F135"/>
      <c r="G135" s="38"/>
      <c r="H135" s="63"/>
      <c r="I135" s="38"/>
      <c r="J135"/>
    </row>
    <row r="136" spans="1:10" s="53" customFormat="1">
      <c r="A136"/>
      <c r="B136" s="2"/>
      <c r="D136"/>
      <c r="E136"/>
      <c r="F136"/>
      <c r="G136" s="38"/>
      <c r="H136" s="63"/>
      <c r="I136" s="38"/>
      <c r="J136"/>
    </row>
    <row r="137" spans="1:10" s="53" customFormat="1">
      <c r="A137"/>
      <c r="B137" s="2"/>
      <c r="D137"/>
      <c r="E137"/>
      <c r="F137"/>
      <c r="G137" s="38"/>
      <c r="H137" s="63"/>
      <c r="I137" s="38"/>
      <c r="J137"/>
    </row>
    <row r="138" spans="1:10" s="53" customFormat="1">
      <c r="A138"/>
      <c r="B138" s="2"/>
      <c r="D138"/>
      <c r="E138"/>
      <c r="F138"/>
      <c r="G138" s="38"/>
      <c r="H138" s="63"/>
      <c r="I138" s="38"/>
      <c r="J138"/>
    </row>
    <row r="139" spans="1:10" s="53" customFormat="1">
      <c r="A139"/>
      <c r="B139" s="2"/>
      <c r="D139"/>
      <c r="E139"/>
      <c r="F139"/>
      <c r="G139" s="38"/>
      <c r="H139" s="63"/>
      <c r="I139" s="38"/>
      <c r="J139"/>
    </row>
    <row r="140" spans="1:10" s="53" customFormat="1">
      <c r="A140"/>
      <c r="B140" s="2"/>
      <c r="D140"/>
      <c r="E140"/>
      <c r="F140"/>
      <c r="G140" s="38"/>
      <c r="H140" s="63"/>
      <c r="I140" s="38"/>
      <c r="J140"/>
    </row>
    <row r="141" spans="1:10" s="53" customFormat="1">
      <c r="A141"/>
      <c r="B141" s="2"/>
      <c r="D141"/>
      <c r="E141"/>
      <c r="F141"/>
      <c r="G141" s="38"/>
      <c r="H141" s="63"/>
      <c r="I141" s="38"/>
      <c r="J141"/>
    </row>
    <row r="142" spans="1:10" s="53" customFormat="1">
      <c r="A142" s="31"/>
      <c r="B142" s="2"/>
      <c r="D142"/>
      <c r="E142"/>
      <c r="F142"/>
      <c r="G142" s="38"/>
      <c r="H142" s="63"/>
      <c r="I142" s="38"/>
      <c r="J142"/>
    </row>
    <row r="143" spans="1:10" s="53" customFormat="1">
      <c r="A143" s="31"/>
      <c r="B143" s="2"/>
      <c r="D143"/>
      <c r="E143"/>
      <c r="F143"/>
      <c r="G143" s="38"/>
      <c r="H143" s="63"/>
      <c r="I143" s="38"/>
      <c r="J143"/>
    </row>
    <row r="144" spans="1:10" s="53" customFormat="1">
      <c r="A144" s="31"/>
      <c r="B144" s="2"/>
      <c r="D144"/>
      <c r="E144"/>
      <c r="F144"/>
      <c r="G144" s="38"/>
      <c r="H144" s="63"/>
      <c r="I144" s="38"/>
      <c r="J144"/>
    </row>
    <row r="145" spans="1:10" s="53" customFormat="1">
      <c r="A145" s="31"/>
      <c r="B145" s="2"/>
      <c r="D145"/>
      <c r="E145"/>
      <c r="F145"/>
      <c r="G145" s="38"/>
      <c r="H145" s="63"/>
      <c r="I145" s="38"/>
      <c r="J145"/>
    </row>
    <row r="146" spans="1:10" s="53" customFormat="1">
      <c r="A146" s="31"/>
      <c r="B146" s="2"/>
      <c r="D146"/>
      <c r="E146"/>
      <c r="F146"/>
      <c r="G146" s="38"/>
      <c r="H146" s="63"/>
      <c r="I146" s="38"/>
      <c r="J146"/>
    </row>
    <row r="147" spans="1:10" s="53" customFormat="1">
      <c r="A147" s="31"/>
      <c r="B147" s="2"/>
      <c r="D147"/>
      <c r="E147"/>
      <c r="F147"/>
      <c r="G147" s="38"/>
      <c r="H147" s="63"/>
      <c r="I147" s="38"/>
      <c r="J147"/>
    </row>
    <row r="148" spans="1:10" s="53" customFormat="1">
      <c r="A148" s="31"/>
      <c r="B148" s="2"/>
      <c r="D148"/>
      <c r="E148"/>
      <c r="F148"/>
      <c r="G148" s="38"/>
      <c r="H148" s="63"/>
      <c r="I148" s="38"/>
      <c r="J148"/>
    </row>
    <row r="149" spans="1:10" s="53" customFormat="1">
      <c r="A149" s="31"/>
      <c r="B149" s="2"/>
      <c r="D149"/>
      <c r="E149"/>
      <c r="F149"/>
      <c r="G149" s="38"/>
      <c r="H149" s="63"/>
      <c r="I149" s="38"/>
      <c r="J149"/>
    </row>
    <row r="150" spans="1:10" s="53" customFormat="1">
      <c r="A150" s="31"/>
      <c r="B150" s="2"/>
      <c r="D150"/>
      <c r="E150"/>
      <c r="F150"/>
      <c r="G150" s="38"/>
      <c r="H150" s="63"/>
      <c r="I150" s="38"/>
      <c r="J150"/>
    </row>
    <row r="151" spans="1:10" s="53" customFormat="1">
      <c r="A151" s="31"/>
      <c r="B151" s="2"/>
      <c r="D151"/>
      <c r="E151"/>
      <c r="F151"/>
      <c r="G151" s="38"/>
      <c r="H151" s="63"/>
      <c r="I151" s="38"/>
      <c r="J151"/>
    </row>
    <row r="152" spans="1:10" s="53" customFormat="1">
      <c r="A152" s="31"/>
      <c r="B152" s="2"/>
      <c r="D152"/>
      <c r="E152"/>
      <c r="F152"/>
      <c r="G152" s="38"/>
      <c r="H152" s="63"/>
      <c r="I152" s="38"/>
      <c r="J152"/>
    </row>
    <row r="153" spans="1:10" s="53" customFormat="1">
      <c r="A153" s="31"/>
      <c r="B153" s="2"/>
      <c r="D153"/>
      <c r="E153"/>
      <c r="F153"/>
      <c r="G153" s="38"/>
      <c r="H153" s="63"/>
      <c r="I153" s="38"/>
      <c r="J153"/>
    </row>
    <row r="154" spans="1:10" s="53" customFormat="1">
      <c r="A154" s="31"/>
      <c r="B154" s="2"/>
      <c r="D154"/>
      <c r="E154"/>
      <c r="F154"/>
      <c r="G154" s="38"/>
      <c r="H154" s="63"/>
      <c r="I154" s="38"/>
      <c r="J154"/>
    </row>
    <row r="155" spans="1:10" s="53" customFormat="1">
      <c r="A155" s="31"/>
      <c r="B155" s="2"/>
      <c r="D155"/>
      <c r="E155"/>
      <c r="F155"/>
      <c r="G155" s="38"/>
      <c r="H155" s="63"/>
      <c r="I155" s="38"/>
      <c r="J155"/>
    </row>
    <row r="156" spans="1:10" s="53" customFormat="1">
      <c r="A156" s="31"/>
      <c r="B156" s="2"/>
      <c r="D156"/>
      <c r="E156"/>
      <c r="F156"/>
      <c r="G156" s="38"/>
      <c r="H156" s="63"/>
      <c r="I156" s="38"/>
      <c r="J156"/>
    </row>
    <row r="157" spans="1:10" s="53" customFormat="1">
      <c r="A157" s="31"/>
      <c r="B157" s="2"/>
      <c r="D157"/>
      <c r="E157"/>
      <c r="F157"/>
      <c r="G157" s="38"/>
      <c r="H157" s="63"/>
      <c r="I157" s="38"/>
      <c r="J157"/>
    </row>
    <row r="158" spans="1:10" s="53" customFormat="1">
      <c r="A158" s="31"/>
      <c r="B158" s="2"/>
      <c r="D158"/>
      <c r="E158"/>
      <c r="F158"/>
      <c r="G158" s="38"/>
      <c r="H158" s="63"/>
      <c r="I158" s="38"/>
      <c r="J158"/>
    </row>
    <row r="159" spans="1:10" s="53" customFormat="1">
      <c r="A159" s="31"/>
      <c r="B159" s="2"/>
      <c r="D159"/>
      <c r="E159"/>
      <c r="F159"/>
      <c r="G159" s="38"/>
      <c r="H159" s="63"/>
      <c r="I159" s="38"/>
      <c r="J159"/>
    </row>
    <row r="160" spans="1:10" s="53" customFormat="1">
      <c r="A160" s="31"/>
      <c r="B160" s="2"/>
      <c r="D160"/>
      <c r="E160"/>
      <c r="F160"/>
      <c r="G160" s="38"/>
      <c r="H160" s="63"/>
      <c r="I160" s="38"/>
      <c r="J160"/>
    </row>
    <row r="161" spans="1:10" s="53" customFormat="1">
      <c r="A161" s="31"/>
      <c r="B161" s="2"/>
      <c r="D161"/>
      <c r="E161"/>
      <c r="F161"/>
      <c r="G161" s="38"/>
      <c r="H161" s="63"/>
      <c r="I161" s="38"/>
      <c r="J161"/>
    </row>
    <row r="162" spans="1:10" s="53" customFormat="1">
      <c r="A162" s="31"/>
      <c r="B162" s="2"/>
      <c r="D162"/>
      <c r="E162"/>
      <c r="F162"/>
      <c r="G162" s="38"/>
      <c r="H162" s="63"/>
      <c r="I162" s="38"/>
      <c r="J162"/>
    </row>
    <row r="163" spans="1:10" s="53" customFormat="1">
      <c r="A163" s="31"/>
      <c r="B163" s="2"/>
      <c r="D163"/>
      <c r="E163"/>
      <c r="F163"/>
      <c r="G163" s="38"/>
      <c r="H163" s="63"/>
      <c r="I163" s="38"/>
      <c r="J163"/>
    </row>
    <row r="164" spans="1:10" s="53" customFormat="1">
      <c r="A164" s="31"/>
      <c r="B164" s="2"/>
      <c r="D164"/>
      <c r="E164"/>
      <c r="F164"/>
      <c r="G164" s="38"/>
      <c r="H164" s="63"/>
      <c r="I164" s="38"/>
      <c r="J164"/>
    </row>
    <row r="165" spans="1:10" s="53" customFormat="1">
      <c r="A165" s="31"/>
      <c r="B165" s="2"/>
      <c r="D165"/>
      <c r="E165"/>
      <c r="F165"/>
      <c r="G165" s="38"/>
      <c r="H165" s="63"/>
      <c r="I165" s="38"/>
      <c r="J165"/>
    </row>
    <row r="166" spans="1:10" s="53" customFormat="1">
      <c r="A166" s="31"/>
      <c r="B166" s="2"/>
      <c r="D166"/>
      <c r="E166"/>
      <c r="F166"/>
      <c r="G166" s="38"/>
      <c r="H166" s="63"/>
      <c r="I166" s="38"/>
      <c r="J166"/>
    </row>
    <row r="167" spans="1:10" s="53" customFormat="1">
      <c r="A167" s="31"/>
      <c r="B167" s="2"/>
      <c r="D167"/>
      <c r="E167"/>
      <c r="F167"/>
      <c r="G167" s="38"/>
      <c r="H167" s="63"/>
      <c r="I167" s="38"/>
      <c r="J167"/>
    </row>
    <row r="168" spans="1:10" s="53" customFormat="1">
      <c r="A168" s="31"/>
      <c r="B168" s="2"/>
      <c r="D168"/>
      <c r="E168"/>
      <c r="F168"/>
      <c r="G168" s="38"/>
      <c r="H168" s="63"/>
      <c r="I168" s="38"/>
      <c r="J168"/>
    </row>
    <row r="169" spans="1:10" s="53" customFormat="1">
      <c r="A169" s="31"/>
      <c r="B169" s="2"/>
      <c r="D169"/>
      <c r="E169"/>
      <c r="F169"/>
      <c r="G169" s="38"/>
      <c r="H169" s="63"/>
      <c r="I169" s="38"/>
      <c r="J169"/>
    </row>
    <row r="170" spans="1:10" s="53" customFormat="1">
      <c r="A170" s="31"/>
      <c r="B170" s="2"/>
      <c r="D170"/>
      <c r="E170"/>
      <c r="F170"/>
      <c r="G170" s="38"/>
      <c r="H170" s="63"/>
      <c r="I170" s="38"/>
      <c r="J170"/>
    </row>
    <row r="171" spans="1:10" s="53" customFormat="1">
      <c r="A171" s="31"/>
      <c r="B171" s="2"/>
      <c r="D171"/>
      <c r="E171"/>
      <c r="F171"/>
      <c r="G171" s="38"/>
      <c r="H171" s="63"/>
      <c r="I171" s="38"/>
      <c r="J171"/>
    </row>
    <row r="172" spans="1:10" s="53" customFormat="1">
      <c r="A172" s="31"/>
      <c r="B172" s="2"/>
      <c r="D172"/>
      <c r="E172"/>
      <c r="F172"/>
      <c r="G172" s="38"/>
      <c r="H172" s="63"/>
      <c r="I172" s="38"/>
      <c r="J172"/>
    </row>
    <row r="173" spans="1:10" s="53" customFormat="1">
      <c r="A173" s="31"/>
      <c r="B173" s="2"/>
      <c r="D173"/>
      <c r="E173"/>
      <c r="F173"/>
      <c r="G173" s="38"/>
      <c r="H173" s="63"/>
      <c r="I173" s="38"/>
      <c r="J173"/>
    </row>
    <row r="174" spans="1:10" s="53" customFormat="1">
      <c r="A174" s="31"/>
      <c r="B174" s="2"/>
      <c r="D174"/>
      <c r="E174"/>
      <c r="F174"/>
      <c r="G174" s="38"/>
      <c r="H174" s="63"/>
      <c r="I174" s="38"/>
      <c r="J174"/>
    </row>
    <row r="175" spans="1:10" s="53" customFormat="1">
      <c r="A175" s="31"/>
      <c r="B175" s="2"/>
      <c r="D175"/>
      <c r="E175"/>
      <c r="F175"/>
      <c r="G175" s="38"/>
      <c r="H175" s="63"/>
      <c r="I175" s="38"/>
      <c r="J175"/>
    </row>
    <row r="176" spans="1:10" s="53" customFormat="1">
      <c r="A176" s="31"/>
      <c r="B176" s="2"/>
      <c r="D176"/>
      <c r="E176"/>
      <c r="F176"/>
      <c r="G176" s="38"/>
      <c r="H176" s="63"/>
      <c r="I176" s="38"/>
      <c r="J176"/>
    </row>
    <row r="177" spans="1:10" s="53" customFormat="1">
      <c r="A177" s="31"/>
      <c r="B177" s="2"/>
      <c r="D177"/>
      <c r="E177"/>
      <c r="F177"/>
      <c r="G177" s="38"/>
      <c r="H177" s="63"/>
      <c r="I177" s="38"/>
      <c r="J177"/>
    </row>
    <row r="178" spans="1:10" s="53" customFormat="1">
      <c r="A178" s="31"/>
      <c r="B178" s="2"/>
      <c r="D178"/>
      <c r="E178"/>
      <c r="F178"/>
      <c r="G178" s="38"/>
      <c r="H178" s="63"/>
      <c r="I178" s="38"/>
      <c r="J178"/>
    </row>
    <row r="179" spans="1:10" s="53" customFormat="1">
      <c r="A179" s="31"/>
      <c r="B179" s="2"/>
      <c r="D179"/>
      <c r="E179"/>
      <c r="F179"/>
      <c r="G179" s="38"/>
      <c r="H179" s="63"/>
      <c r="I179" s="38"/>
      <c r="J179"/>
    </row>
    <row r="180" spans="1:10" s="53" customFormat="1">
      <c r="A180" s="31"/>
      <c r="B180" s="2"/>
      <c r="D180"/>
      <c r="E180"/>
      <c r="F180"/>
      <c r="G180" s="38"/>
      <c r="H180" s="63"/>
      <c r="I180" s="38"/>
      <c r="J180"/>
    </row>
    <row r="181" spans="1:10" s="53" customFormat="1">
      <c r="A181" s="31"/>
      <c r="B181" s="2"/>
      <c r="D181"/>
      <c r="E181"/>
      <c r="F181"/>
      <c r="G181" s="38"/>
      <c r="H181" s="63"/>
      <c r="I181" s="38"/>
      <c r="J181"/>
    </row>
    <row r="182" spans="1:10" s="53" customFormat="1">
      <c r="A182" s="31"/>
      <c r="B182" s="2"/>
      <c r="D182"/>
      <c r="E182"/>
      <c r="F182"/>
      <c r="G182" s="38"/>
      <c r="H182" s="63"/>
      <c r="I182" s="38"/>
      <c r="J182"/>
    </row>
    <row r="183" spans="1:10" s="53" customFormat="1">
      <c r="A183" s="31"/>
      <c r="B183" s="2"/>
      <c r="D183"/>
      <c r="E183"/>
      <c r="F183"/>
      <c r="G183" s="38"/>
      <c r="H183" s="63"/>
      <c r="I183" s="38"/>
      <c r="J183"/>
    </row>
    <row r="184" spans="1:10" s="53" customFormat="1">
      <c r="A184" s="31"/>
      <c r="B184" s="2"/>
      <c r="D184"/>
      <c r="E184"/>
      <c r="F184"/>
      <c r="G184" s="38"/>
      <c r="H184" s="63"/>
      <c r="I184" s="38"/>
      <c r="J184"/>
    </row>
    <row r="185" spans="1:10" s="53" customFormat="1">
      <c r="A185" s="31"/>
      <c r="B185" s="2"/>
      <c r="D185"/>
      <c r="E185"/>
      <c r="F185"/>
      <c r="G185" s="38"/>
      <c r="H185" s="63"/>
      <c r="I185" s="38"/>
      <c r="J185"/>
    </row>
    <row r="186" spans="1:10" s="53" customFormat="1">
      <c r="A186" s="31"/>
      <c r="B186" s="2"/>
      <c r="D186"/>
      <c r="E186"/>
      <c r="F186"/>
      <c r="G186" s="38"/>
      <c r="H186" s="63"/>
      <c r="I186" s="38"/>
      <c r="J186"/>
    </row>
    <row r="187" spans="1:10" s="53" customFormat="1">
      <c r="A187" s="31"/>
      <c r="B187" s="2"/>
      <c r="D187"/>
      <c r="E187"/>
      <c r="F187"/>
      <c r="G187" s="38"/>
      <c r="H187" s="63"/>
      <c r="I187" s="38"/>
      <c r="J187"/>
    </row>
    <row r="188" spans="1:10" s="53" customFormat="1">
      <c r="A188" s="31"/>
      <c r="B188" s="2"/>
      <c r="D188"/>
      <c r="E188"/>
      <c r="F188"/>
      <c r="G188" s="38"/>
      <c r="H188" s="63"/>
      <c r="I188" s="38"/>
      <c r="J188"/>
    </row>
    <row r="189" spans="1:10" s="53" customFormat="1">
      <c r="A189" s="31"/>
      <c r="B189" s="2"/>
      <c r="D189"/>
      <c r="E189"/>
      <c r="F189"/>
      <c r="G189" s="38"/>
      <c r="H189" s="63"/>
      <c r="I189" s="38"/>
      <c r="J189"/>
    </row>
    <row r="190" spans="1:10" s="53" customFormat="1">
      <c r="A190" s="31"/>
      <c r="B190" s="2"/>
      <c r="D190"/>
      <c r="E190"/>
      <c r="F190"/>
      <c r="G190" s="38"/>
      <c r="H190" s="63"/>
      <c r="I190" s="38"/>
      <c r="J190"/>
    </row>
    <row r="191" spans="1:10" s="53" customFormat="1">
      <c r="A191" s="31"/>
      <c r="B191" s="2"/>
      <c r="D191"/>
      <c r="E191"/>
      <c r="F191"/>
      <c r="G191" s="38"/>
      <c r="H191" s="63"/>
      <c r="I191" s="38"/>
      <c r="J191"/>
    </row>
    <row r="192" spans="1:10" s="53" customFormat="1">
      <c r="A192" s="31"/>
      <c r="B192" s="2"/>
      <c r="D192"/>
      <c r="E192"/>
      <c r="F192"/>
      <c r="G192" s="38"/>
      <c r="H192" s="63"/>
      <c r="I192" s="38"/>
      <c r="J192"/>
    </row>
    <row r="193" spans="1:10" s="53" customFormat="1">
      <c r="A193" s="31"/>
      <c r="B193" s="2"/>
      <c r="D193"/>
      <c r="E193"/>
      <c r="F193"/>
      <c r="G193" s="38"/>
      <c r="H193" s="63"/>
      <c r="I193" s="38"/>
      <c r="J193"/>
    </row>
    <row r="194" spans="1:10" s="53" customFormat="1">
      <c r="A194" s="31"/>
      <c r="B194" s="2"/>
      <c r="D194"/>
      <c r="E194"/>
      <c r="F194"/>
      <c r="G194" s="38"/>
      <c r="H194" s="63"/>
      <c r="I194" s="38"/>
      <c r="J194"/>
    </row>
    <row r="195" spans="1:10" s="53" customFormat="1">
      <c r="A195" s="31"/>
      <c r="B195" s="2"/>
      <c r="D195"/>
      <c r="E195"/>
      <c r="F195"/>
      <c r="G195" s="38"/>
      <c r="H195" s="63"/>
      <c r="I195" s="38"/>
      <c r="J195"/>
    </row>
    <row r="196" spans="1:10" s="53" customFormat="1">
      <c r="A196" s="31"/>
      <c r="B196" s="2"/>
      <c r="D196"/>
      <c r="E196"/>
      <c r="F196"/>
      <c r="G196" s="38"/>
      <c r="H196" s="63"/>
      <c r="I196" s="38"/>
      <c r="J196"/>
    </row>
    <row r="197" spans="1:10" s="53" customFormat="1">
      <c r="A197" s="31"/>
      <c r="B197" s="2"/>
      <c r="D197"/>
      <c r="E197"/>
      <c r="F197"/>
      <c r="G197" s="38"/>
      <c r="H197" s="63"/>
      <c r="I197" s="38"/>
      <c r="J197"/>
    </row>
    <row r="198" spans="1:10" s="53" customFormat="1">
      <c r="A198" s="31"/>
      <c r="B198" s="2"/>
      <c r="D198"/>
      <c r="E198"/>
      <c r="F198"/>
      <c r="G198" s="38"/>
      <c r="H198" s="63"/>
      <c r="I198" s="38"/>
      <c r="J198"/>
    </row>
    <row r="199" spans="1:10" s="53" customFormat="1">
      <c r="A199" s="31"/>
      <c r="B199" s="2"/>
      <c r="D199"/>
      <c r="E199"/>
      <c r="F199"/>
      <c r="G199" s="38"/>
      <c r="H199" s="63"/>
      <c r="I199" s="38"/>
      <c r="J199"/>
    </row>
    <row r="200" spans="1:10" s="53" customFormat="1">
      <c r="A200" s="31"/>
      <c r="B200" s="2"/>
      <c r="D200"/>
      <c r="E200"/>
      <c r="F200"/>
      <c r="G200" s="38"/>
      <c r="H200" s="63"/>
      <c r="I200" s="38"/>
      <c r="J200"/>
    </row>
    <row r="201" spans="1:10" s="53" customFormat="1">
      <c r="A201" s="31"/>
      <c r="B201" s="2"/>
      <c r="D201"/>
      <c r="E201"/>
      <c r="F201"/>
      <c r="G201" s="38"/>
      <c r="H201" s="63"/>
      <c r="I201" s="38"/>
      <c r="J201"/>
    </row>
    <row r="202" spans="1:10" s="53" customFormat="1">
      <c r="A202" s="31"/>
      <c r="B202" s="2"/>
      <c r="D202"/>
      <c r="E202"/>
      <c r="F202"/>
      <c r="G202" s="38"/>
      <c r="H202" s="63"/>
      <c r="I202" s="38"/>
      <c r="J202"/>
    </row>
    <row r="203" spans="1:10" s="53" customFormat="1">
      <c r="A203" s="31"/>
      <c r="B203" s="2"/>
      <c r="D203"/>
      <c r="E203"/>
      <c r="F203"/>
      <c r="G203" s="38"/>
      <c r="H203" s="63"/>
      <c r="I203" s="38"/>
      <c r="J203"/>
    </row>
    <row r="204" spans="1:10" s="53" customFormat="1">
      <c r="A204" s="31"/>
      <c r="B204" s="2"/>
      <c r="D204"/>
      <c r="E204"/>
      <c r="F204"/>
      <c r="G204" s="38"/>
      <c r="H204" s="63"/>
      <c r="I204" s="38"/>
      <c r="J204"/>
    </row>
    <row r="205" spans="1:10" s="53" customFormat="1">
      <c r="A205" s="31"/>
      <c r="B205" s="2"/>
      <c r="D205"/>
      <c r="E205"/>
      <c r="F205"/>
      <c r="G205" s="38"/>
      <c r="H205" s="63"/>
      <c r="I205" s="38"/>
      <c r="J205"/>
    </row>
    <row r="206" spans="1:10" s="53" customFormat="1">
      <c r="A206" s="31"/>
      <c r="B206" s="2"/>
      <c r="D206"/>
      <c r="E206"/>
      <c r="F206"/>
      <c r="G206" s="38"/>
      <c r="H206" s="63"/>
      <c r="I206" s="38"/>
      <c r="J206"/>
    </row>
    <row r="207" spans="1:10" s="53" customFormat="1">
      <c r="A207" s="31"/>
      <c r="B207" s="2"/>
      <c r="D207"/>
      <c r="E207"/>
      <c r="F207"/>
      <c r="G207" s="38"/>
      <c r="H207" s="63"/>
      <c r="I207" s="38"/>
      <c r="J207"/>
    </row>
    <row r="208" spans="1:10" s="53" customFormat="1">
      <c r="A208" s="31"/>
      <c r="B208" s="2"/>
      <c r="D208"/>
      <c r="E208"/>
      <c r="F208"/>
      <c r="G208" s="38"/>
      <c r="H208" s="63"/>
      <c r="I208" s="38"/>
      <c r="J208"/>
    </row>
    <row r="209" spans="1:10" s="53" customFormat="1">
      <c r="A209" s="31"/>
      <c r="B209" s="2"/>
      <c r="D209"/>
      <c r="E209"/>
      <c r="F209"/>
      <c r="G209" s="38"/>
      <c r="H209" s="63"/>
      <c r="I209" s="38"/>
      <c r="J209"/>
    </row>
    <row r="210" spans="1:10" s="53" customFormat="1">
      <c r="A210" s="31"/>
      <c r="B210" s="2"/>
      <c r="D210"/>
      <c r="E210"/>
      <c r="F210"/>
      <c r="G210" s="38"/>
      <c r="H210" s="63"/>
      <c r="I210" s="38"/>
      <c r="J210"/>
    </row>
    <row r="211" spans="1:10" s="53" customFormat="1">
      <c r="A211" s="31"/>
      <c r="B211" s="2"/>
      <c r="D211"/>
      <c r="E211"/>
      <c r="F211"/>
      <c r="G211" s="38"/>
      <c r="H211" s="63"/>
      <c r="I211" s="38"/>
      <c r="J211"/>
    </row>
    <row r="212" spans="1:10" s="53" customFormat="1">
      <c r="A212" s="31"/>
      <c r="B212" s="2"/>
      <c r="D212"/>
      <c r="E212"/>
      <c r="F212"/>
      <c r="G212" s="38"/>
      <c r="H212" s="63"/>
      <c r="I212" s="38"/>
      <c r="J212"/>
    </row>
    <row r="213" spans="1:10" s="53" customFormat="1">
      <c r="A213" s="31"/>
      <c r="B213" s="2"/>
      <c r="D213"/>
      <c r="E213"/>
      <c r="F213"/>
      <c r="G213" s="38"/>
      <c r="H213" s="63"/>
      <c r="I213" s="38"/>
      <c r="J213"/>
    </row>
    <row r="214" spans="1:10" s="53" customFormat="1">
      <c r="A214" s="31"/>
      <c r="B214" s="2"/>
      <c r="D214"/>
      <c r="E214"/>
      <c r="F214"/>
      <c r="G214" s="38"/>
      <c r="H214" s="63"/>
      <c r="I214" s="38"/>
      <c r="J214"/>
    </row>
    <row r="215" spans="1:10" s="53" customFormat="1">
      <c r="A215" s="31"/>
      <c r="B215" s="2"/>
      <c r="D215"/>
      <c r="E215"/>
      <c r="F215"/>
      <c r="G215" s="38"/>
      <c r="H215" s="63"/>
      <c r="I215" s="38"/>
      <c r="J215"/>
    </row>
    <row r="216" spans="1:10" s="53" customFormat="1">
      <c r="A216" s="31"/>
      <c r="B216" s="2"/>
      <c r="D216"/>
      <c r="E216"/>
      <c r="F216"/>
      <c r="G216" s="38"/>
      <c r="H216" s="63"/>
      <c r="I216" s="38"/>
      <c r="J216"/>
    </row>
    <row r="217" spans="1:10" s="53" customFormat="1">
      <c r="A217" s="31"/>
      <c r="B217" s="2"/>
      <c r="D217"/>
      <c r="E217"/>
      <c r="F217"/>
      <c r="G217" s="38"/>
      <c r="H217" s="63"/>
      <c r="I217" s="38"/>
      <c r="J217"/>
    </row>
    <row r="218" spans="1:10" s="53" customFormat="1">
      <c r="A218" s="31"/>
      <c r="B218" s="2"/>
      <c r="D218"/>
      <c r="E218"/>
      <c r="F218"/>
      <c r="G218" s="38"/>
      <c r="H218" s="63"/>
      <c r="I218" s="38"/>
      <c r="J218"/>
    </row>
    <row r="219" spans="1:10" s="53" customFormat="1">
      <c r="A219" s="31"/>
      <c r="B219" s="2"/>
      <c r="D219"/>
      <c r="E219"/>
      <c r="F219"/>
      <c r="G219" s="38"/>
      <c r="H219" s="63"/>
      <c r="I219" s="38"/>
      <c r="J219"/>
    </row>
    <row r="220" spans="1:10" s="53" customFormat="1">
      <c r="A220" s="31"/>
      <c r="B220" s="2"/>
      <c r="D220"/>
      <c r="E220"/>
      <c r="F220"/>
      <c r="G220" s="38"/>
      <c r="H220" s="63"/>
      <c r="I220" s="38"/>
      <c r="J220"/>
    </row>
    <row r="221" spans="1:10" s="53" customFormat="1">
      <c r="A221" s="31"/>
      <c r="B221" s="2"/>
      <c r="D221"/>
      <c r="E221"/>
      <c r="F221"/>
      <c r="G221" s="38"/>
      <c r="H221" s="63"/>
      <c r="I221" s="38"/>
      <c r="J221"/>
    </row>
    <row r="222" spans="1:10" s="53" customFormat="1">
      <c r="A222" s="31"/>
      <c r="B222" s="2"/>
      <c r="D222"/>
      <c r="E222"/>
      <c r="F222"/>
      <c r="G222" s="38"/>
      <c r="H222" s="63"/>
      <c r="I222" s="38"/>
      <c r="J222"/>
    </row>
    <row r="223" spans="1:10" s="53" customFormat="1">
      <c r="A223" s="31"/>
      <c r="B223" s="2"/>
      <c r="D223"/>
      <c r="E223"/>
      <c r="F223"/>
      <c r="G223" s="38"/>
      <c r="H223" s="63"/>
      <c r="I223" s="38"/>
      <c r="J223"/>
    </row>
    <row r="224" spans="1:10" s="53" customFormat="1">
      <c r="A224" s="31"/>
      <c r="B224" s="2"/>
      <c r="D224"/>
      <c r="E224"/>
      <c r="F224"/>
      <c r="G224" s="38"/>
      <c r="H224" s="63"/>
      <c r="I224" s="38"/>
      <c r="J224"/>
    </row>
    <row r="225" spans="1:10" s="53" customFormat="1">
      <c r="A225" s="31"/>
      <c r="B225" s="2"/>
      <c r="D225"/>
      <c r="E225"/>
      <c r="F225"/>
      <c r="G225" s="38"/>
      <c r="H225" s="63"/>
      <c r="I225" s="38"/>
      <c r="J225"/>
    </row>
    <row r="226" spans="1:10" s="53" customFormat="1">
      <c r="A226" s="31"/>
      <c r="B226" s="2"/>
      <c r="D226"/>
      <c r="E226"/>
      <c r="F226"/>
      <c r="G226" s="38"/>
      <c r="H226" s="63"/>
      <c r="I226" s="38"/>
      <c r="J226"/>
    </row>
    <row r="227" spans="1:10" s="53" customFormat="1">
      <c r="A227" s="31"/>
      <c r="B227" s="2"/>
      <c r="D227"/>
      <c r="E227"/>
      <c r="F227"/>
      <c r="G227" s="38"/>
      <c r="H227" s="63"/>
      <c r="I227" s="38"/>
      <c r="J227"/>
    </row>
    <row r="228" spans="1:10" s="53" customFormat="1">
      <c r="A228" s="31"/>
      <c r="B228" s="2"/>
      <c r="D228"/>
      <c r="E228"/>
      <c r="F228"/>
      <c r="G228" s="38"/>
      <c r="H228" s="63"/>
      <c r="I228" s="38"/>
      <c r="J228"/>
    </row>
    <row r="229" spans="1:10" s="53" customFormat="1">
      <c r="A229" s="31"/>
      <c r="B229" s="2"/>
      <c r="D229"/>
      <c r="E229"/>
      <c r="F229"/>
      <c r="G229" s="38"/>
      <c r="H229" s="63"/>
      <c r="I229" s="38"/>
      <c r="J229"/>
    </row>
    <row r="230" spans="1:10" s="53" customFormat="1">
      <c r="A230" s="31"/>
      <c r="B230" s="2"/>
      <c r="D230"/>
      <c r="E230"/>
      <c r="F230"/>
      <c r="G230" s="38"/>
      <c r="H230" s="63"/>
      <c r="I230" s="38"/>
      <c r="J230"/>
    </row>
    <row r="231" spans="1:10" s="53" customFormat="1">
      <c r="A231" s="31"/>
      <c r="B231" s="2"/>
      <c r="D231"/>
      <c r="E231"/>
      <c r="F231"/>
      <c r="G231" s="38"/>
      <c r="H231" s="63"/>
      <c r="I231" s="38"/>
      <c r="J231"/>
    </row>
    <row r="232" spans="1:10" s="53" customFormat="1">
      <c r="A232" s="31"/>
      <c r="B232" s="2"/>
      <c r="D232"/>
      <c r="E232"/>
      <c r="F232"/>
      <c r="G232" s="38"/>
      <c r="H232" s="63"/>
      <c r="I232" s="38"/>
      <c r="J232"/>
    </row>
    <row r="233" spans="1:10" s="53" customFormat="1">
      <c r="A233" s="31"/>
      <c r="B233" s="2"/>
      <c r="D233"/>
      <c r="E233"/>
      <c r="F233"/>
      <c r="G233" s="38"/>
      <c r="H233" s="63"/>
      <c r="I233" s="38"/>
      <c r="J233"/>
    </row>
    <row r="234" spans="1:10" s="53" customFormat="1">
      <c r="A234" s="31"/>
      <c r="B234" s="2"/>
      <c r="D234"/>
      <c r="E234"/>
      <c r="F234"/>
      <c r="G234" s="38"/>
      <c r="H234" s="63"/>
      <c r="I234" s="38"/>
      <c r="J234"/>
    </row>
    <row r="235" spans="1:10" s="53" customFormat="1">
      <c r="A235" s="31"/>
      <c r="B235" s="2"/>
      <c r="D235"/>
      <c r="E235"/>
      <c r="F235"/>
      <c r="G235" s="38"/>
      <c r="H235" s="63"/>
      <c r="I235" s="38"/>
      <c r="J235"/>
    </row>
    <row r="236" spans="1:10" s="53" customFormat="1">
      <c r="A236" s="31"/>
      <c r="B236" s="2"/>
      <c r="D236"/>
      <c r="E236"/>
      <c r="F236"/>
      <c r="G236" s="38"/>
      <c r="H236" s="63"/>
      <c r="I236" s="38"/>
      <c r="J236"/>
    </row>
    <row r="237" spans="1:10" s="53" customFormat="1">
      <c r="A237" s="31"/>
      <c r="B237" s="2"/>
      <c r="D237"/>
      <c r="E237"/>
      <c r="F237"/>
      <c r="G237" s="38"/>
      <c r="H237" s="63"/>
      <c r="I237" s="38"/>
      <c r="J237"/>
    </row>
    <row r="238" spans="1:10" s="53" customFormat="1">
      <c r="A238" s="31"/>
      <c r="B238" s="2"/>
      <c r="D238"/>
      <c r="E238"/>
      <c r="F238"/>
      <c r="G238" s="38"/>
      <c r="H238" s="63"/>
      <c r="I238" s="38"/>
      <c r="J238"/>
    </row>
    <row r="239" spans="1:10" s="53" customFormat="1">
      <c r="A239" s="31"/>
      <c r="B239" s="2"/>
      <c r="D239"/>
      <c r="E239"/>
      <c r="F239"/>
      <c r="G239" s="38"/>
      <c r="H239" s="63"/>
      <c r="I239" s="38"/>
      <c r="J239"/>
    </row>
    <row r="240" spans="1:10" s="53" customFormat="1">
      <c r="A240" s="31"/>
      <c r="B240" s="2"/>
      <c r="D240"/>
      <c r="E240"/>
      <c r="F240"/>
      <c r="G240" s="38"/>
      <c r="H240" s="63"/>
      <c r="I240" s="38"/>
      <c r="J240"/>
    </row>
    <row r="241" spans="1:10" s="53" customFormat="1">
      <c r="A241" s="31"/>
      <c r="B241" s="2"/>
      <c r="D241"/>
      <c r="E241"/>
      <c r="F241"/>
      <c r="G241" s="38"/>
      <c r="H241" s="63"/>
      <c r="I241" s="38"/>
      <c r="J241"/>
    </row>
    <row r="242" spans="1:10" s="53" customFormat="1">
      <c r="A242" s="31"/>
      <c r="B242" s="2"/>
      <c r="D242"/>
      <c r="E242"/>
      <c r="F242"/>
      <c r="G242" s="38"/>
      <c r="H242" s="63"/>
      <c r="I242" s="38"/>
      <c r="J242"/>
    </row>
    <row r="243" spans="1:10" s="53" customFormat="1">
      <c r="A243" s="31"/>
      <c r="B243" s="2"/>
      <c r="D243"/>
      <c r="E243"/>
      <c r="F243"/>
      <c r="G243" s="38"/>
      <c r="H243" s="63"/>
      <c r="I243" s="38"/>
      <c r="J243"/>
    </row>
    <row r="244" spans="1:10" s="53" customFormat="1">
      <c r="A244" s="31"/>
      <c r="B244" s="2"/>
      <c r="D244"/>
      <c r="E244"/>
      <c r="F244"/>
      <c r="G244" s="38"/>
      <c r="H244" s="63"/>
      <c r="I244" s="38"/>
      <c r="J244"/>
    </row>
    <row r="245" spans="1:10" s="53" customFormat="1">
      <c r="A245" s="31"/>
      <c r="B245" s="2"/>
      <c r="D245"/>
      <c r="E245"/>
      <c r="F245"/>
      <c r="G245" s="38"/>
      <c r="H245" s="63"/>
      <c r="I245" s="38"/>
      <c r="J245"/>
    </row>
    <row r="246" spans="1:10" s="53" customFormat="1">
      <c r="A246" s="31"/>
      <c r="B246" s="2"/>
      <c r="D246"/>
      <c r="E246"/>
      <c r="F246"/>
      <c r="G246" s="38"/>
      <c r="H246" s="63"/>
      <c r="I246" s="38"/>
      <c r="J246"/>
    </row>
    <row r="247" spans="1:10" s="53" customFormat="1">
      <c r="A247" s="31"/>
      <c r="B247" s="2"/>
      <c r="D247"/>
      <c r="E247"/>
      <c r="F247"/>
      <c r="G247" s="38"/>
      <c r="H247" s="63"/>
      <c r="I247" s="38"/>
      <c r="J247"/>
    </row>
    <row r="248" spans="1:10" s="53" customFormat="1">
      <c r="A248" s="31"/>
      <c r="B248" s="2"/>
      <c r="D248"/>
      <c r="E248"/>
      <c r="F248"/>
      <c r="G248" s="38"/>
      <c r="H248" s="63"/>
      <c r="I248" s="38"/>
      <c r="J248"/>
    </row>
    <row r="249" spans="1:10" s="53" customFormat="1">
      <c r="A249" s="31"/>
      <c r="B249" s="2"/>
      <c r="D249"/>
      <c r="E249"/>
      <c r="F249"/>
      <c r="G249" s="38"/>
      <c r="H249" s="63"/>
      <c r="I249" s="38"/>
      <c r="J249"/>
    </row>
    <row r="250" spans="1:10" s="53" customFormat="1">
      <c r="A250" s="31"/>
      <c r="B250" s="2"/>
      <c r="D250"/>
      <c r="E250"/>
      <c r="F250"/>
      <c r="G250" s="38"/>
      <c r="H250" s="63"/>
      <c r="I250" s="38"/>
      <c r="J250"/>
    </row>
    <row r="251" spans="1:10" s="53" customFormat="1">
      <c r="A251" s="31"/>
      <c r="B251" s="2"/>
      <c r="D251"/>
      <c r="E251"/>
      <c r="F251"/>
      <c r="G251" s="38"/>
      <c r="H251" s="63"/>
      <c r="I251" s="38"/>
      <c r="J251"/>
    </row>
    <row r="252" spans="1:10" s="53" customFormat="1">
      <c r="A252" s="31"/>
      <c r="B252" s="2"/>
      <c r="D252"/>
      <c r="E252"/>
      <c r="F252"/>
      <c r="G252" s="38"/>
      <c r="H252" s="63"/>
      <c r="I252" s="38"/>
      <c r="J252"/>
    </row>
    <row r="253" spans="1:10" s="53" customFormat="1">
      <c r="A253" s="31"/>
      <c r="B253" s="2"/>
      <c r="D253"/>
      <c r="E253"/>
      <c r="F253"/>
      <c r="G253" s="38"/>
      <c r="H253" s="63"/>
      <c r="I253" s="38"/>
      <c r="J253"/>
    </row>
    <row r="254" spans="1:10" s="53" customFormat="1">
      <c r="A254" s="31"/>
      <c r="B254" s="2"/>
      <c r="D254"/>
      <c r="E254"/>
      <c r="F254"/>
      <c r="G254" s="38"/>
      <c r="H254" s="63"/>
      <c r="I254" s="38"/>
      <c r="J254"/>
    </row>
    <row r="255" spans="1:10" s="53" customFormat="1">
      <c r="A255" s="31"/>
      <c r="B255" s="2"/>
      <c r="D255"/>
      <c r="E255"/>
      <c r="F255"/>
      <c r="G255" s="38"/>
      <c r="H255" s="63"/>
      <c r="I255" s="38"/>
      <c r="J255"/>
    </row>
    <row r="256" spans="1:10" s="53" customFormat="1">
      <c r="A256" s="31"/>
      <c r="B256" s="2"/>
      <c r="D256"/>
      <c r="E256"/>
      <c r="F256"/>
      <c r="G256" s="38"/>
      <c r="H256" s="63"/>
      <c r="I256" s="38"/>
      <c r="J256"/>
    </row>
    <row r="257" spans="1:10" s="53" customFormat="1">
      <c r="A257" s="31"/>
      <c r="B257" s="2"/>
      <c r="D257"/>
      <c r="E257"/>
      <c r="F257"/>
      <c r="G257" s="38"/>
      <c r="H257" s="63"/>
      <c r="I257" s="38"/>
      <c r="J257"/>
    </row>
    <row r="258" spans="1:10" s="53" customFormat="1">
      <c r="A258" s="31"/>
      <c r="B258" s="2"/>
      <c r="D258"/>
      <c r="E258"/>
      <c r="F258"/>
      <c r="G258" s="38"/>
      <c r="H258" s="63"/>
      <c r="I258" s="38"/>
      <c r="J258"/>
    </row>
    <row r="259" spans="1:10" s="53" customFormat="1">
      <c r="A259" s="31"/>
      <c r="B259" s="2"/>
      <c r="D259"/>
      <c r="E259"/>
      <c r="F259"/>
      <c r="G259" s="38"/>
      <c r="H259" s="63"/>
      <c r="I259" s="38"/>
      <c r="J259"/>
    </row>
    <row r="260" spans="1:10" s="53" customFormat="1">
      <c r="A260" s="31"/>
      <c r="B260" s="2"/>
      <c r="D260"/>
      <c r="E260"/>
      <c r="F260"/>
      <c r="G260" s="38"/>
      <c r="H260" s="63"/>
      <c r="I260" s="38"/>
      <c r="J260"/>
    </row>
    <row r="261" spans="1:10" s="53" customFormat="1">
      <c r="A261" s="31"/>
      <c r="B261" s="2"/>
      <c r="D261"/>
      <c r="E261"/>
      <c r="F261"/>
      <c r="G261" s="38"/>
      <c r="H261" s="63"/>
      <c r="I261" s="38"/>
      <c r="J261"/>
    </row>
    <row r="262" spans="1:10" s="53" customFormat="1">
      <c r="A262" s="31"/>
      <c r="B262" s="2"/>
      <c r="D262"/>
      <c r="E262"/>
      <c r="F262"/>
      <c r="G262" s="38"/>
      <c r="H262" s="63"/>
      <c r="I262" s="38"/>
      <c r="J262"/>
    </row>
    <row r="263" spans="1:10" s="53" customFormat="1">
      <c r="A263" s="31"/>
      <c r="B263" s="2"/>
      <c r="D263"/>
      <c r="E263"/>
      <c r="F263"/>
      <c r="G263" s="38"/>
      <c r="H263" s="63"/>
      <c r="I263" s="38"/>
      <c r="J263"/>
    </row>
    <row r="264" spans="1:10" s="53" customFormat="1">
      <c r="A264" s="31"/>
      <c r="B264" s="2"/>
      <c r="D264"/>
      <c r="E264"/>
      <c r="F264"/>
      <c r="G264" s="38"/>
      <c r="H264" s="63"/>
      <c r="I264" s="38"/>
      <c r="J264"/>
    </row>
    <row r="265" spans="1:10" s="53" customFormat="1">
      <c r="A265" s="31"/>
      <c r="B265" s="2"/>
      <c r="D265"/>
      <c r="E265"/>
      <c r="F265"/>
      <c r="G265" s="38"/>
      <c r="H265" s="63"/>
      <c r="I265" s="38"/>
      <c r="J265"/>
    </row>
    <row r="266" spans="1:10" s="53" customFormat="1">
      <c r="A266" s="31"/>
      <c r="B266" s="2"/>
      <c r="D266"/>
      <c r="E266"/>
      <c r="F266"/>
      <c r="G266" s="38"/>
      <c r="H266" s="63"/>
      <c r="I266" s="38"/>
      <c r="J266"/>
    </row>
    <row r="267" spans="1:10" s="53" customFormat="1">
      <c r="A267" s="31"/>
      <c r="B267" s="2"/>
      <c r="D267"/>
      <c r="E267"/>
      <c r="F267"/>
      <c r="G267" s="38"/>
      <c r="H267" s="63"/>
      <c r="I267" s="38"/>
      <c r="J267"/>
    </row>
    <row r="268" spans="1:10" s="53" customFormat="1">
      <c r="A268" s="31"/>
      <c r="B268" s="2"/>
      <c r="D268"/>
      <c r="E268"/>
      <c r="F268"/>
      <c r="G268" s="38"/>
      <c r="H268" s="63"/>
      <c r="I268" s="38"/>
      <c r="J268"/>
    </row>
    <row r="269" spans="1:10" s="53" customFormat="1">
      <c r="A269" s="31"/>
      <c r="B269" s="2"/>
      <c r="D269"/>
      <c r="E269"/>
      <c r="F269"/>
      <c r="G269" s="38"/>
      <c r="H269" s="63"/>
      <c r="I269" s="38"/>
      <c r="J269"/>
    </row>
    <row r="270" spans="1:10" s="53" customFormat="1">
      <c r="A270" s="31"/>
      <c r="B270" s="2"/>
      <c r="D270"/>
      <c r="E270"/>
      <c r="F270"/>
      <c r="G270" s="38"/>
      <c r="H270" s="63"/>
      <c r="I270" s="38"/>
      <c r="J270"/>
    </row>
    <row r="271" spans="1:10" s="53" customFormat="1">
      <c r="A271" s="31"/>
      <c r="B271" s="2"/>
      <c r="D271"/>
      <c r="E271"/>
      <c r="F271"/>
      <c r="G271" s="38"/>
      <c r="H271" s="63"/>
      <c r="I271" s="38"/>
      <c r="J271"/>
    </row>
    <row r="272" spans="1:10" s="53" customFormat="1">
      <c r="A272" s="31"/>
      <c r="B272" s="2"/>
      <c r="D272"/>
      <c r="E272"/>
      <c r="F272"/>
      <c r="G272" s="38"/>
      <c r="H272" s="63"/>
      <c r="I272" s="38"/>
      <c r="J272"/>
    </row>
    <row r="273" spans="1:10" s="53" customFormat="1">
      <c r="A273" s="31"/>
      <c r="B273" s="2"/>
      <c r="D273"/>
      <c r="E273"/>
      <c r="F273"/>
      <c r="G273" s="38"/>
      <c r="H273" s="63"/>
      <c r="I273" s="38"/>
      <c r="J273"/>
    </row>
    <row r="274" spans="1:10" s="53" customFormat="1">
      <c r="A274" s="31"/>
      <c r="B274" s="2"/>
      <c r="D274"/>
      <c r="E274"/>
      <c r="F274"/>
      <c r="G274" s="38"/>
      <c r="H274" s="63"/>
      <c r="I274" s="38"/>
      <c r="J274"/>
    </row>
    <row r="275" spans="1:10" s="53" customFormat="1">
      <c r="A275" s="31"/>
      <c r="B275" s="2"/>
      <c r="D275"/>
      <c r="E275"/>
      <c r="F275"/>
      <c r="G275" s="38"/>
      <c r="H275" s="63"/>
      <c r="I275" s="38"/>
      <c r="J275"/>
    </row>
    <row r="276" spans="1:10" s="53" customFormat="1">
      <c r="A276" s="31"/>
      <c r="B276" s="2"/>
      <c r="D276"/>
      <c r="E276"/>
      <c r="F276"/>
      <c r="G276" s="38"/>
      <c r="H276" s="63"/>
      <c r="I276" s="38"/>
      <c r="J276"/>
    </row>
    <row r="277" spans="1:10" s="53" customFormat="1">
      <c r="A277" s="31"/>
      <c r="B277" s="2"/>
      <c r="D277"/>
      <c r="E277"/>
      <c r="F277"/>
      <c r="G277" s="38"/>
      <c r="H277" s="63"/>
      <c r="I277" s="38"/>
      <c r="J277"/>
    </row>
    <row r="278" spans="1:10" s="53" customFormat="1">
      <c r="A278" s="31"/>
      <c r="B278" s="2"/>
      <c r="D278"/>
      <c r="E278"/>
      <c r="F278"/>
      <c r="G278" s="38"/>
      <c r="H278" s="63"/>
      <c r="I278" s="38"/>
      <c r="J278"/>
    </row>
    <row r="279" spans="1:10" s="53" customFormat="1">
      <c r="A279" s="31"/>
      <c r="B279" s="2"/>
      <c r="D279"/>
      <c r="E279"/>
      <c r="F279"/>
      <c r="G279" s="38"/>
      <c r="H279" s="63"/>
      <c r="I279" s="38"/>
      <c r="J279"/>
    </row>
    <row r="280" spans="1:10" s="53" customFormat="1">
      <c r="A280" s="31"/>
      <c r="B280" s="2"/>
      <c r="D280"/>
      <c r="E280"/>
      <c r="F280"/>
      <c r="G280" s="38"/>
      <c r="H280" s="63"/>
      <c r="I280" s="38"/>
      <c r="J280"/>
    </row>
    <row r="281" spans="1:10" s="53" customFormat="1">
      <c r="A281" s="31"/>
      <c r="B281" s="2"/>
      <c r="D281"/>
      <c r="E281"/>
      <c r="F281"/>
      <c r="G281" s="38"/>
      <c r="H281" s="63"/>
      <c r="I281" s="38"/>
      <c r="J281"/>
    </row>
    <row r="282" spans="1:10" s="53" customFormat="1">
      <c r="A282" s="31"/>
      <c r="B282" s="2"/>
      <c r="D282"/>
      <c r="E282"/>
      <c r="F282"/>
      <c r="G282" s="38"/>
      <c r="H282" s="63"/>
      <c r="I282" s="38"/>
      <c r="J282"/>
    </row>
    <row r="283" spans="1:10" s="53" customFormat="1">
      <c r="A283" s="31"/>
      <c r="B283" s="2"/>
      <c r="D283"/>
      <c r="E283"/>
      <c r="F283"/>
      <c r="G283" s="38"/>
      <c r="H283" s="63"/>
      <c r="I283" s="38"/>
      <c r="J283"/>
    </row>
    <row r="284" spans="1:10" s="53" customFormat="1">
      <c r="A284" s="31"/>
      <c r="B284" s="2"/>
      <c r="D284"/>
      <c r="E284"/>
      <c r="F284"/>
      <c r="G284" s="38"/>
      <c r="H284" s="63"/>
      <c r="I284" s="38"/>
      <c r="J284"/>
    </row>
    <row r="285" spans="1:10" s="53" customFormat="1">
      <c r="A285" s="31"/>
      <c r="B285" s="2"/>
      <c r="D285"/>
      <c r="E285"/>
      <c r="F285"/>
      <c r="G285" s="38"/>
      <c r="H285" s="63"/>
      <c r="I285" s="38"/>
      <c r="J285"/>
    </row>
    <row r="286" spans="1:10" s="53" customFormat="1">
      <c r="A286" s="31"/>
      <c r="B286" s="2"/>
      <c r="D286"/>
      <c r="E286"/>
      <c r="F286"/>
      <c r="G286" s="38"/>
      <c r="H286" s="63"/>
      <c r="I286" s="38"/>
      <c r="J286"/>
    </row>
    <row r="287" spans="1:10" s="53" customFormat="1">
      <c r="A287" s="31"/>
      <c r="B287" s="2"/>
      <c r="D287"/>
      <c r="E287"/>
      <c r="F287"/>
      <c r="G287" s="38"/>
      <c r="H287" s="63"/>
      <c r="I287" s="38"/>
      <c r="J287"/>
    </row>
    <row r="288" spans="1:10" s="53" customFormat="1">
      <c r="A288" s="31"/>
      <c r="B288" s="2"/>
      <c r="D288"/>
      <c r="E288"/>
      <c r="F288"/>
      <c r="G288" s="38"/>
      <c r="H288" s="63"/>
      <c r="I288" s="38"/>
      <c r="J288"/>
    </row>
    <row r="289" spans="1:10" s="53" customFormat="1">
      <c r="A289" s="31"/>
      <c r="B289" s="2"/>
      <c r="D289"/>
      <c r="E289"/>
      <c r="F289"/>
      <c r="G289" s="38"/>
      <c r="H289" s="63"/>
      <c r="I289" s="38"/>
      <c r="J289"/>
    </row>
    <row r="290" spans="1:10" s="53" customFormat="1">
      <c r="A290" s="31"/>
      <c r="B290" s="2"/>
      <c r="D290"/>
      <c r="E290"/>
      <c r="F290"/>
      <c r="G290" s="38"/>
      <c r="H290" s="63"/>
      <c r="I290" s="38"/>
      <c r="J290"/>
    </row>
    <row r="291" spans="1:10" s="53" customFormat="1">
      <c r="A291" s="31"/>
      <c r="B291" s="2"/>
      <c r="D291"/>
      <c r="E291"/>
      <c r="F291"/>
      <c r="G291" s="38"/>
      <c r="H291" s="63"/>
      <c r="I291" s="38"/>
      <c r="J291"/>
    </row>
    <row r="292" spans="1:10" s="53" customFormat="1">
      <c r="A292" s="31"/>
      <c r="B292" s="2"/>
      <c r="D292"/>
      <c r="E292"/>
      <c r="F292"/>
      <c r="G292" s="38"/>
      <c r="H292" s="63"/>
      <c r="I292" s="38"/>
      <c r="J292"/>
    </row>
    <row r="293" spans="1:10" s="53" customFormat="1">
      <c r="A293" s="31"/>
      <c r="B293" s="2"/>
      <c r="D293"/>
      <c r="E293"/>
      <c r="F293"/>
      <c r="G293" s="38"/>
      <c r="H293" s="63"/>
      <c r="I293" s="38"/>
      <c r="J293"/>
    </row>
    <row r="294" spans="1:10" s="53" customFormat="1">
      <c r="A294" s="31"/>
      <c r="B294" s="2"/>
      <c r="D294"/>
      <c r="E294"/>
      <c r="F294"/>
      <c r="G294" s="38"/>
      <c r="H294" s="63"/>
      <c r="I294" s="38"/>
      <c r="J294"/>
    </row>
    <row r="295" spans="1:10" s="53" customFormat="1">
      <c r="A295" s="31"/>
      <c r="B295" s="2"/>
      <c r="D295"/>
      <c r="E295"/>
      <c r="F295"/>
      <c r="G295" s="38"/>
      <c r="H295" s="63"/>
      <c r="I295" s="38"/>
      <c r="J295"/>
    </row>
    <row r="296" spans="1:10" s="53" customFormat="1">
      <c r="A296" s="31"/>
      <c r="B296" s="2"/>
      <c r="D296"/>
      <c r="E296"/>
      <c r="F296"/>
      <c r="G296" s="38"/>
      <c r="H296" s="63"/>
      <c r="I296" s="38"/>
      <c r="J296"/>
    </row>
    <row r="297" spans="1:10" s="53" customFormat="1">
      <c r="A297" s="31"/>
      <c r="B297" s="2"/>
      <c r="D297"/>
      <c r="E297"/>
      <c r="F297"/>
      <c r="G297" s="38"/>
      <c r="H297" s="63"/>
      <c r="I297" s="38"/>
      <c r="J297"/>
    </row>
    <row r="298" spans="1:10" s="53" customFormat="1">
      <c r="A298" s="31"/>
      <c r="B298" s="2"/>
      <c r="D298"/>
      <c r="E298"/>
      <c r="F298"/>
      <c r="G298" s="38"/>
      <c r="H298" s="63"/>
      <c r="I298" s="38"/>
      <c r="J298"/>
    </row>
    <row r="299" spans="1:10" s="53" customFormat="1">
      <c r="A299" s="31"/>
      <c r="B299" s="2"/>
      <c r="D299"/>
      <c r="E299"/>
      <c r="F299"/>
      <c r="G299" s="38"/>
      <c r="H299" s="63"/>
      <c r="I299" s="38"/>
      <c r="J299"/>
    </row>
    <row r="300" spans="1:10" s="53" customFormat="1">
      <c r="A300" s="31"/>
      <c r="B300" s="2"/>
      <c r="D300"/>
      <c r="E300"/>
      <c r="F300"/>
      <c r="G300" s="38"/>
      <c r="H300" s="63"/>
      <c r="I300" s="38"/>
      <c r="J300"/>
    </row>
    <row r="301" spans="1:10" s="53" customFormat="1">
      <c r="A301" s="31"/>
      <c r="B301" s="2"/>
      <c r="D301"/>
      <c r="E301"/>
      <c r="F301"/>
      <c r="G301" s="38"/>
      <c r="H301" s="63"/>
      <c r="I301" s="38"/>
      <c r="J301"/>
    </row>
    <row r="302" spans="1:10" s="53" customFormat="1">
      <c r="A302" s="31"/>
      <c r="B302" s="2"/>
      <c r="D302"/>
      <c r="E302"/>
      <c r="F302"/>
      <c r="G302" s="38"/>
      <c r="H302" s="63"/>
      <c r="I302" s="38"/>
      <c r="J302"/>
    </row>
    <row r="303" spans="1:10" s="53" customFormat="1">
      <c r="A303" s="31"/>
      <c r="B303" s="2"/>
      <c r="D303"/>
      <c r="E303"/>
      <c r="F303"/>
      <c r="G303" s="38"/>
      <c r="H303" s="63"/>
      <c r="I303" s="38"/>
      <c r="J303"/>
    </row>
    <row r="304" spans="1:10" s="53" customFormat="1">
      <c r="A304" s="31"/>
      <c r="B304" s="2"/>
      <c r="D304"/>
      <c r="E304"/>
      <c r="F304"/>
      <c r="G304" s="38"/>
      <c r="H304" s="63"/>
      <c r="I304" s="38"/>
      <c r="J304"/>
    </row>
    <row r="305" spans="1:10" s="53" customFormat="1">
      <c r="A305" s="31"/>
      <c r="B305" s="2"/>
      <c r="D305"/>
      <c r="E305"/>
      <c r="F305"/>
      <c r="G305" s="38"/>
      <c r="H305" s="63"/>
      <c r="I305" s="38"/>
      <c r="J305"/>
    </row>
    <row r="306" spans="1:10" s="53" customFormat="1">
      <c r="A306" s="31"/>
      <c r="B306" s="2"/>
      <c r="D306"/>
      <c r="E306"/>
      <c r="F306"/>
      <c r="G306" s="38"/>
      <c r="H306" s="63"/>
      <c r="I306" s="38"/>
      <c r="J306"/>
    </row>
    <row r="307" spans="1:10" s="53" customFormat="1">
      <c r="A307" s="31"/>
      <c r="B307" s="2"/>
      <c r="D307"/>
      <c r="E307"/>
      <c r="F307"/>
      <c r="G307" s="38"/>
      <c r="H307" s="63"/>
      <c r="I307" s="38"/>
      <c r="J307"/>
    </row>
    <row r="308" spans="1:10" s="53" customFormat="1">
      <c r="A308" s="31"/>
      <c r="B308" s="2"/>
      <c r="D308"/>
      <c r="E308"/>
      <c r="F308"/>
      <c r="G308" s="38"/>
      <c r="H308" s="63"/>
      <c r="I308" s="38"/>
      <c r="J308"/>
    </row>
    <row r="309" spans="1:10" s="53" customFormat="1">
      <c r="A309" s="31"/>
      <c r="B309" s="2"/>
      <c r="D309"/>
      <c r="E309"/>
      <c r="F309"/>
      <c r="G309" s="38"/>
      <c r="H309" s="63"/>
      <c r="I309" s="38"/>
      <c r="J309"/>
    </row>
    <row r="310" spans="1:10" s="53" customFormat="1">
      <c r="A310" s="31"/>
      <c r="B310" s="2"/>
      <c r="D310"/>
      <c r="E310"/>
      <c r="F310"/>
      <c r="G310" s="38"/>
      <c r="H310" s="63"/>
      <c r="I310" s="38"/>
      <c r="J310"/>
    </row>
    <row r="311" spans="1:10" s="53" customFormat="1">
      <c r="A311" s="31"/>
      <c r="B311" s="2"/>
      <c r="D311"/>
      <c r="E311"/>
      <c r="F311"/>
      <c r="G311" s="38"/>
      <c r="H311" s="63"/>
      <c r="I311" s="38"/>
      <c r="J311"/>
    </row>
    <row r="312" spans="1:10" s="53" customFormat="1">
      <c r="A312" s="31"/>
      <c r="B312" s="2"/>
      <c r="D312"/>
      <c r="E312"/>
      <c r="F312"/>
      <c r="G312" s="38"/>
      <c r="H312" s="63"/>
      <c r="I312" s="38"/>
      <c r="J312"/>
    </row>
    <row r="313" spans="1:10" s="53" customFormat="1">
      <c r="A313" s="31"/>
      <c r="B313" s="2"/>
      <c r="D313"/>
      <c r="E313"/>
      <c r="F313"/>
      <c r="G313" s="38"/>
      <c r="H313" s="63"/>
      <c r="I313" s="38"/>
      <c r="J313"/>
    </row>
    <row r="314" spans="1:10" s="53" customFormat="1">
      <c r="A314" s="31"/>
      <c r="B314" s="2"/>
      <c r="D314"/>
      <c r="E314"/>
      <c r="F314"/>
      <c r="G314" s="38"/>
      <c r="H314" s="63"/>
      <c r="I314" s="38"/>
      <c r="J314"/>
    </row>
    <row r="315" spans="1:10" s="53" customFormat="1">
      <c r="A315" s="31"/>
      <c r="B315" s="2"/>
      <c r="D315"/>
      <c r="E315"/>
      <c r="F315"/>
      <c r="G315" s="38"/>
      <c r="H315" s="63"/>
      <c r="I315" s="38"/>
      <c r="J315"/>
    </row>
    <row r="316" spans="1:10" s="53" customFormat="1">
      <c r="A316" s="31"/>
      <c r="B316" s="2"/>
      <c r="D316"/>
      <c r="E316"/>
      <c r="F316"/>
      <c r="G316" s="38"/>
      <c r="H316" s="63"/>
      <c r="I316" s="38"/>
      <c r="J316"/>
    </row>
    <row r="317" spans="1:10" s="53" customFormat="1">
      <c r="A317" s="31"/>
      <c r="B317" s="2"/>
      <c r="D317"/>
      <c r="E317"/>
      <c r="F317"/>
      <c r="G317" s="38"/>
      <c r="H317" s="63"/>
      <c r="I317" s="38"/>
      <c r="J317"/>
    </row>
    <row r="318" spans="1:10" s="53" customFormat="1">
      <c r="A318" s="31"/>
      <c r="B318" s="2"/>
      <c r="D318"/>
      <c r="E318"/>
      <c r="F318"/>
      <c r="G318" s="38"/>
      <c r="H318" s="63"/>
      <c r="I318" s="38"/>
      <c r="J318"/>
    </row>
    <row r="319" spans="1:10" s="53" customFormat="1">
      <c r="A319" s="31"/>
      <c r="B319" s="2"/>
      <c r="D319"/>
      <c r="E319"/>
      <c r="F319"/>
      <c r="G319" s="38"/>
      <c r="H319" s="63"/>
      <c r="I319" s="38"/>
      <c r="J319"/>
    </row>
    <row r="320" spans="1:10" s="53" customFormat="1">
      <c r="A320" s="31"/>
      <c r="B320" s="2"/>
      <c r="D320"/>
      <c r="E320"/>
      <c r="F320"/>
      <c r="G320" s="38"/>
      <c r="H320" s="63"/>
      <c r="I320" s="38"/>
      <c r="J320"/>
    </row>
    <row r="321" spans="1:10" s="53" customFormat="1">
      <c r="A321" s="31"/>
      <c r="B321" s="2"/>
      <c r="D321"/>
      <c r="E321"/>
      <c r="F321"/>
      <c r="G321" s="38"/>
      <c r="H321" s="63"/>
      <c r="I321" s="38"/>
      <c r="J321"/>
    </row>
    <row r="322" spans="1:10" s="53" customFormat="1">
      <c r="A322" s="31"/>
      <c r="B322" s="2"/>
      <c r="D322"/>
      <c r="E322"/>
      <c r="F322"/>
      <c r="G322" s="38"/>
      <c r="H322" s="63"/>
      <c r="I322" s="38"/>
      <c r="J322"/>
    </row>
    <row r="323" spans="1:10" s="53" customFormat="1">
      <c r="A323" s="31"/>
      <c r="B323" s="2"/>
      <c r="D323"/>
      <c r="E323"/>
      <c r="F323"/>
      <c r="G323" s="38"/>
      <c r="H323" s="63"/>
      <c r="I323" s="38"/>
      <c r="J323"/>
    </row>
    <row r="324" spans="1:10" s="53" customFormat="1">
      <c r="A324" s="31"/>
      <c r="B324" s="2"/>
      <c r="D324"/>
      <c r="E324"/>
      <c r="F324"/>
      <c r="G324" s="38"/>
      <c r="H324" s="63"/>
      <c r="I324" s="38"/>
      <c r="J324"/>
    </row>
    <row r="325" spans="1:10" s="53" customFormat="1">
      <c r="A325" s="31"/>
      <c r="B325" s="2"/>
      <c r="D325"/>
      <c r="E325"/>
      <c r="F325"/>
      <c r="G325" s="38"/>
      <c r="H325" s="63"/>
      <c r="I325" s="38"/>
      <c r="J325"/>
    </row>
    <row r="326" spans="1:10" s="53" customFormat="1">
      <c r="A326" s="31"/>
      <c r="B326" s="2"/>
      <c r="D326"/>
      <c r="E326"/>
      <c r="F326"/>
      <c r="G326" s="38"/>
      <c r="H326" s="63"/>
      <c r="I326" s="38"/>
      <c r="J326"/>
    </row>
    <row r="327" spans="1:10" s="53" customFormat="1">
      <c r="A327" s="31"/>
      <c r="B327" s="2"/>
      <c r="D327"/>
      <c r="E327"/>
      <c r="F327"/>
      <c r="G327" s="38"/>
      <c r="H327" s="63"/>
      <c r="I327" s="38"/>
      <c r="J327"/>
    </row>
    <row r="328" spans="1:10" s="53" customFormat="1">
      <c r="A328" s="31"/>
      <c r="B328" s="2"/>
      <c r="D328"/>
      <c r="E328"/>
      <c r="F328"/>
      <c r="G328" s="38"/>
      <c r="H328" s="63"/>
      <c r="I328" s="38"/>
      <c r="J328"/>
    </row>
    <row r="329" spans="1:10" s="53" customFormat="1">
      <c r="A329" s="31"/>
      <c r="B329" s="2"/>
      <c r="D329"/>
      <c r="E329"/>
      <c r="F329"/>
      <c r="G329" s="38"/>
      <c r="H329" s="63"/>
      <c r="I329" s="38"/>
      <c r="J329"/>
    </row>
    <row r="330" spans="1:10" s="53" customFormat="1">
      <c r="A330" s="31"/>
      <c r="B330" s="2"/>
      <c r="D330"/>
      <c r="E330"/>
      <c r="F330"/>
      <c r="G330" s="38"/>
      <c r="H330" s="63"/>
      <c r="I330" s="38"/>
      <c r="J330"/>
    </row>
    <row r="331" spans="1:10" s="53" customFormat="1">
      <c r="A331" s="31"/>
      <c r="B331" s="2"/>
      <c r="D331"/>
      <c r="E331"/>
      <c r="F331"/>
      <c r="G331" s="38"/>
      <c r="H331" s="63"/>
      <c r="I331" s="38"/>
      <c r="J331"/>
    </row>
    <row r="332" spans="1:10" s="53" customFormat="1">
      <c r="A332" s="31"/>
      <c r="B332" s="2"/>
      <c r="D332"/>
      <c r="E332"/>
      <c r="F332"/>
      <c r="G332" s="38"/>
      <c r="H332" s="63"/>
      <c r="I332" s="38"/>
      <c r="J332"/>
    </row>
    <row r="333" spans="1:10" s="53" customFormat="1">
      <c r="A333" s="31"/>
      <c r="B333" s="2"/>
      <c r="D333"/>
      <c r="E333"/>
      <c r="F333"/>
      <c r="G333" s="38"/>
      <c r="H333" s="63"/>
      <c r="I333" s="38"/>
      <c r="J333"/>
    </row>
    <row r="334" spans="1:10" s="53" customFormat="1">
      <c r="A334" s="31"/>
      <c r="B334" s="2"/>
      <c r="D334"/>
      <c r="E334"/>
      <c r="F334"/>
      <c r="G334" s="38"/>
      <c r="H334" s="63"/>
      <c r="I334" s="38"/>
      <c r="J334"/>
    </row>
    <row r="335" spans="1:10" s="53" customFormat="1">
      <c r="A335" s="31"/>
      <c r="B335" s="2"/>
      <c r="D335"/>
      <c r="E335"/>
      <c r="F335"/>
      <c r="G335" s="38"/>
      <c r="H335" s="63"/>
      <c r="I335" s="38"/>
      <c r="J335"/>
    </row>
    <row r="336" spans="1:10" s="53" customFormat="1">
      <c r="A336" s="31"/>
      <c r="B336" s="2"/>
      <c r="D336"/>
      <c r="E336"/>
      <c r="F336"/>
      <c r="G336" s="38"/>
      <c r="H336" s="63"/>
      <c r="I336" s="38"/>
      <c r="J336"/>
    </row>
    <row r="337" spans="1:10" s="53" customFormat="1">
      <c r="A337" s="31"/>
      <c r="B337" s="2"/>
      <c r="D337"/>
      <c r="E337"/>
      <c r="F337"/>
      <c r="G337" s="38"/>
      <c r="H337" s="63"/>
      <c r="I337" s="38"/>
      <c r="J337"/>
    </row>
    <row r="338" spans="1:10" s="53" customFormat="1">
      <c r="A338" s="31"/>
      <c r="B338" s="2"/>
      <c r="D338"/>
      <c r="E338"/>
      <c r="F338"/>
      <c r="G338" s="38"/>
      <c r="H338" s="63"/>
      <c r="I338" s="38"/>
      <c r="J338"/>
    </row>
    <row r="339" spans="1:10" s="53" customFormat="1">
      <c r="A339" s="31"/>
      <c r="B339" s="2"/>
      <c r="D339"/>
      <c r="E339"/>
      <c r="F339"/>
      <c r="G339" s="38"/>
      <c r="H339" s="63"/>
      <c r="I339" s="38"/>
      <c r="J339"/>
    </row>
    <row r="340" spans="1:10" s="53" customFormat="1">
      <c r="A340" s="31"/>
      <c r="B340" s="2"/>
      <c r="D340"/>
      <c r="E340"/>
      <c r="F340"/>
      <c r="G340" s="38"/>
      <c r="H340" s="63"/>
      <c r="I340" s="38"/>
      <c r="J340"/>
    </row>
    <row r="341" spans="1:10" s="53" customFormat="1">
      <c r="A341" s="31"/>
      <c r="B341" s="2"/>
      <c r="D341"/>
      <c r="E341"/>
      <c r="F341"/>
      <c r="G341" s="38"/>
      <c r="H341" s="63"/>
      <c r="I341" s="38"/>
      <c r="J341"/>
    </row>
    <row r="342" spans="1:10" s="53" customFormat="1">
      <c r="A342" s="31"/>
      <c r="B342" s="2"/>
      <c r="D342"/>
      <c r="E342"/>
      <c r="F342"/>
      <c r="G342" s="38"/>
      <c r="H342" s="63"/>
      <c r="I342" s="38"/>
      <c r="J342"/>
    </row>
    <row r="343" spans="1:10" s="53" customFormat="1">
      <c r="A343" s="31"/>
      <c r="B343" s="2"/>
      <c r="D343"/>
      <c r="E343"/>
      <c r="F343"/>
      <c r="G343" s="38"/>
      <c r="H343" s="63"/>
      <c r="I343" s="38"/>
      <c r="J343"/>
    </row>
    <row r="344" spans="1:10" s="53" customFormat="1">
      <c r="A344" s="31"/>
      <c r="B344" s="2"/>
      <c r="D344"/>
      <c r="E344"/>
      <c r="F344"/>
      <c r="G344" s="38"/>
      <c r="H344" s="63"/>
      <c r="I344" s="38"/>
      <c r="J344"/>
    </row>
    <row r="345" spans="1:10" s="53" customFormat="1">
      <c r="A345" s="31"/>
      <c r="B345" s="2"/>
      <c r="D345"/>
      <c r="E345"/>
      <c r="F345"/>
      <c r="G345" s="38"/>
      <c r="H345" s="63"/>
      <c r="I345" s="38"/>
      <c r="J345"/>
    </row>
    <row r="346" spans="1:10" s="53" customFormat="1">
      <c r="A346" s="31"/>
      <c r="B346" s="2"/>
      <c r="D346"/>
      <c r="E346"/>
      <c r="F346"/>
      <c r="G346" s="38"/>
      <c r="H346" s="63"/>
      <c r="I346" s="38"/>
      <c r="J346"/>
    </row>
    <row r="347" spans="1:10" s="53" customFormat="1">
      <c r="A347" s="31"/>
      <c r="B347" s="2"/>
      <c r="D347"/>
      <c r="E347"/>
      <c r="F347"/>
      <c r="G347" s="38"/>
      <c r="H347" s="63"/>
      <c r="I347" s="38"/>
      <c r="J347"/>
    </row>
    <row r="348" spans="1:10" s="53" customFormat="1">
      <c r="A348" s="31"/>
      <c r="B348" s="2"/>
      <c r="D348"/>
      <c r="E348"/>
      <c r="F348"/>
      <c r="G348" s="38"/>
      <c r="H348" s="63"/>
      <c r="I348" s="38"/>
      <c r="J348"/>
    </row>
    <row r="349" spans="1:10" s="53" customFormat="1">
      <c r="A349" s="31"/>
      <c r="B349" s="2"/>
      <c r="D349"/>
      <c r="E349"/>
      <c r="F349"/>
      <c r="G349" s="38"/>
      <c r="H349" s="63"/>
      <c r="I349" s="38"/>
      <c r="J349"/>
    </row>
    <row r="350" spans="1:10" s="53" customFormat="1">
      <c r="A350" s="31"/>
      <c r="B350" s="2"/>
      <c r="D350"/>
      <c r="E350"/>
      <c r="F350"/>
      <c r="G350" s="38"/>
      <c r="H350" s="63"/>
      <c r="I350" s="38"/>
      <c r="J350"/>
    </row>
    <row r="351" spans="1:10" s="53" customFormat="1">
      <c r="A351" s="31"/>
      <c r="B351" s="2"/>
      <c r="D351"/>
      <c r="E351"/>
      <c r="F351"/>
      <c r="G351" s="38"/>
      <c r="H351" s="63"/>
      <c r="I351" s="38"/>
      <c r="J351"/>
    </row>
    <row r="352" spans="1:10" s="53" customFormat="1">
      <c r="A352" s="31"/>
      <c r="B352" s="2"/>
      <c r="D352"/>
      <c r="E352"/>
      <c r="F352"/>
      <c r="G352" s="38"/>
      <c r="H352" s="63"/>
      <c r="I352" s="38"/>
      <c r="J352"/>
    </row>
    <row r="353" spans="1:10" s="53" customFormat="1">
      <c r="A353" s="31"/>
      <c r="B353" s="2"/>
      <c r="D353"/>
      <c r="E353"/>
      <c r="F353"/>
      <c r="G353" s="38"/>
      <c r="H353" s="63"/>
      <c r="I353" s="38"/>
      <c r="J353"/>
    </row>
    <row r="354" spans="1:10" s="53" customFormat="1">
      <c r="A354" s="31"/>
      <c r="B354" s="2"/>
      <c r="D354"/>
      <c r="E354"/>
      <c r="F354"/>
      <c r="G354" s="38"/>
      <c r="H354" s="63"/>
      <c r="I354" s="38"/>
      <c r="J354"/>
    </row>
    <row r="355" spans="1:10" s="53" customFormat="1">
      <c r="A355" s="31"/>
      <c r="B355" s="2"/>
      <c r="D355"/>
      <c r="E355"/>
      <c r="F355"/>
      <c r="G355" s="38"/>
      <c r="H355" s="63"/>
      <c r="I355" s="38"/>
      <c r="J355"/>
    </row>
    <row r="356" spans="1:10" s="53" customFormat="1">
      <c r="A356" s="31"/>
      <c r="B356" s="2"/>
      <c r="D356"/>
      <c r="E356"/>
      <c r="F356"/>
      <c r="G356" s="38"/>
      <c r="H356" s="63"/>
      <c r="I356" s="38"/>
      <c r="J356"/>
    </row>
    <row r="357" spans="1:10" s="53" customFormat="1">
      <c r="A357" s="31"/>
      <c r="B357" s="2"/>
      <c r="D357"/>
      <c r="E357"/>
      <c r="F357"/>
      <c r="G357" s="38"/>
      <c r="H357" s="63"/>
      <c r="I357" s="38"/>
      <c r="J357"/>
    </row>
    <row r="358" spans="1:10" s="53" customFormat="1">
      <c r="A358" s="31"/>
      <c r="B358" s="2"/>
      <c r="D358"/>
      <c r="E358"/>
      <c r="F358"/>
      <c r="G358" s="38"/>
      <c r="H358" s="63"/>
      <c r="I358" s="38"/>
      <c r="J358"/>
    </row>
    <row r="359" spans="1:10" s="53" customFormat="1">
      <c r="A359" s="31"/>
      <c r="B359" s="2"/>
      <c r="D359"/>
      <c r="E359"/>
      <c r="F359"/>
      <c r="G359" s="38"/>
      <c r="H359" s="63"/>
      <c r="I359" s="38"/>
      <c r="J359"/>
    </row>
    <row r="360" spans="1:10" s="53" customFormat="1">
      <c r="A360" s="31"/>
      <c r="B360" s="2"/>
      <c r="D360"/>
      <c r="E360"/>
      <c r="F360"/>
      <c r="G360" s="38"/>
      <c r="H360" s="63"/>
      <c r="I360" s="38"/>
      <c r="J360"/>
    </row>
    <row r="361" spans="1:10" s="53" customFormat="1">
      <c r="A361" s="31"/>
      <c r="B361" s="2"/>
      <c r="D361"/>
      <c r="E361"/>
      <c r="F361"/>
      <c r="G361" s="38"/>
      <c r="H361" s="63"/>
      <c r="I361" s="38"/>
      <c r="J361"/>
    </row>
    <row r="362" spans="1:10" s="53" customFormat="1">
      <c r="A362" s="31"/>
      <c r="B362" s="2"/>
      <c r="D362"/>
      <c r="E362"/>
      <c r="F362"/>
      <c r="G362" s="38"/>
      <c r="H362" s="63"/>
      <c r="I362" s="38"/>
      <c r="J362"/>
    </row>
    <row r="363" spans="1:10" s="53" customFormat="1">
      <c r="A363" s="31"/>
      <c r="B363" s="2"/>
      <c r="D363"/>
      <c r="E363"/>
      <c r="F363"/>
      <c r="G363" s="38"/>
      <c r="H363" s="63"/>
      <c r="I363" s="38"/>
      <c r="J363"/>
    </row>
    <row r="364" spans="1:10" s="53" customFormat="1">
      <c r="A364" s="31"/>
      <c r="B364" s="2"/>
      <c r="D364"/>
      <c r="E364"/>
      <c r="F364"/>
      <c r="G364" s="38"/>
      <c r="H364" s="63"/>
      <c r="I364" s="38"/>
      <c r="J364"/>
    </row>
    <row r="365" spans="1:10" s="53" customFormat="1">
      <c r="A365" s="31"/>
      <c r="B365" s="2"/>
      <c r="D365"/>
      <c r="E365"/>
      <c r="F365"/>
      <c r="G365" s="38"/>
      <c r="H365" s="63"/>
      <c r="I365" s="38"/>
      <c r="J365"/>
    </row>
    <row r="366" spans="1:10" s="53" customFormat="1">
      <c r="A366" s="31"/>
      <c r="B366" s="2"/>
      <c r="D366"/>
      <c r="E366"/>
      <c r="F366"/>
      <c r="G366" s="38"/>
      <c r="H366" s="63"/>
      <c r="I366" s="38"/>
      <c r="J366"/>
    </row>
    <row r="367" spans="1:10" s="53" customFormat="1">
      <c r="A367" s="31"/>
      <c r="B367" s="2"/>
      <c r="D367"/>
      <c r="E367"/>
      <c r="F367"/>
      <c r="G367" s="38"/>
      <c r="H367" s="63"/>
      <c r="I367" s="38"/>
      <c r="J367"/>
    </row>
    <row r="368" spans="1:10" s="53" customFormat="1">
      <c r="A368" s="31"/>
      <c r="B368" s="2"/>
      <c r="D368"/>
      <c r="E368"/>
      <c r="F368"/>
      <c r="G368" s="38"/>
      <c r="H368" s="63"/>
      <c r="I368" s="38"/>
      <c r="J368"/>
    </row>
    <row r="369" spans="1:10" s="53" customFormat="1">
      <c r="A369" s="31"/>
      <c r="B369" s="2"/>
      <c r="D369"/>
      <c r="E369"/>
      <c r="F369"/>
      <c r="G369" s="38"/>
      <c r="H369" s="63"/>
      <c r="I369" s="38"/>
      <c r="J369"/>
    </row>
    <row r="370" spans="1:10" s="53" customFormat="1">
      <c r="A370" s="31"/>
      <c r="B370" s="2"/>
      <c r="D370"/>
      <c r="E370"/>
      <c r="F370"/>
      <c r="G370" s="38"/>
      <c r="H370" s="63"/>
      <c r="I370" s="38"/>
      <c r="J370"/>
    </row>
    <row r="371" spans="1:10" s="53" customFormat="1">
      <c r="A371" s="31"/>
      <c r="B371" s="2"/>
      <c r="D371"/>
      <c r="E371"/>
      <c r="F371"/>
      <c r="G371" s="38"/>
      <c r="H371" s="63"/>
      <c r="I371" s="38"/>
      <c r="J371"/>
    </row>
    <row r="372" spans="1:10" s="53" customFormat="1">
      <c r="A372" s="31"/>
      <c r="B372" s="2"/>
      <c r="D372"/>
      <c r="E372"/>
      <c r="F372"/>
      <c r="G372" s="38"/>
      <c r="H372" s="63"/>
      <c r="I372" s="38"/>
      <c r="J372"/>
    </row>
    <row r="373" spans="1:10" s="53" customFormat="1">
      <c r="A373" s="31"/>
      <c r="B373" s="2"/>
      <c r="D373"/>
      <c r="E373"/>
      <c r="F373"/>
      <c r="G373" s="38"/>
      <c r="H373" s="63"/>
      <c r="I373" s="38"/>
      <c r="J373"/>
    </row>
    <row r="374" spans="1:10" s="53" customFormat="1">
      <c r="A374" s="31"/>
      <c r="B374" s="2"/>
      <c r="D374"/>
      <c r="E374"/>
      <c r="F374"/>
      <c r="G374" s="38"/>
      <c r="H374" s="63"/>
      <c r="I374" s="38"/>
      <c r="J374"/>
    </row>
    <row r="375" spans="1:10" s="53" customFormat="1">
      <c r="A375" s="31"/>
      <c r="B375" s="2"/>
      <c r="D375"/>
      <c r="E375"/>
      <c r="F375"/>
      <c r="G375" s="38"/>
      <c r="H375" s="63"/>
      <c r="I375" s="38"/>
      <c r="J375"/>
    </row>
    <row r="376" spans="1:10" s="53" customFormat="1">
      <c r="A376" s="31"/>
      <c r="B376" s="2"/>
      <c r="D376"/>
      <c r="E376"/>
      <c r="F376"/>
      <c r="G376" s="38"/>
      <c r="H376" s="63"/>
      <c r="I376" s="38"/>
      <c r="J376"/>
    </row>
    <row r="377" spans="1:10" s="53" customFormat="1">
      <c r="A377" s="31"/>
      <c r="B377" s="2"/>
      <c r="D377"/>
      <c r="E377"/>
      <c r="F377"/>
      <c r="G377" s="38"/>
      <c r="H377" s="63"/>
      <c r="I377" s="38"/>
      <c r="J377"/>
    </row>
    <row r="378" spans="1:10" s="53" customFormat="1">
      <c r="A378" s="31"/>
      <c r="B378" s="2"/>
      <c r="D378"/>
      <c r="E378"/>
      <c r="F378"/>
      <c r="G378" s="38"/>
      <c r="H378" s="63"/>
      <c r="I378" s="38"/>
      <c r="J378"/>
    </row>
    <row r="379" spans="1:10" s="53" customFormat="1">
      <c r="A379" s="31"/>
      <c r="B379" s="2"/>
      <c r="D379"/>
      <c r="E379"/>
      <c r="F379"/>
      <c r="G379" s="38"/>
      <c r="H379" s="63"/>
      <c r="I379" s="38"/>
      <c r="J379"/>
    </row>
    <row r="380" spans="1:10" s="53" customFormat="1">
      <c r="A380" s="31"/>
      <c r="B380" s="2"/>
      <c r="D380"/>
      <c r="E380"/>
      <c r="F380"/>
      <c r="G380" s="38"/>
      <c r="H380" s="63"/>
      <c r="I380" s="38"/>
      <c r="J380"/>
    </row>
    <row r="381" spans="1:10" s="53" customFormat="1">
      <c r="A381" s="31"/>
      <c r="B381" s="2"/>
      <c r="D381"/>
      <c r="E381"/>
      <c r="F381"/>
      <c r="G381" s="38"/>
      <c r="H381" s="63"/>
      <c r="I381" s="38"/>
      <c r="J381"/>
    </row>
    <row r="382" spans="1:10" s="53" customFormat="1">
      <c r="A382" s="31"/>
      <c r="B382" s="2"/>
      <c r="D382"/>
      <c r="E382"/>
      <c r="F382"/>
      <c r="G382" s="38"/>
      <c r="H382" s="63"/>
      <c r="I382" s="38"/>
      <c r="J382"/>
    </row>
    <row r="383" spans="1:10" s="53" customFormat="1">
      <c r="A383" s="31"/>
      <c r="B383" s="2"/>
      <c r="D383"/>
      <c r="E383"/>
      <c r="F383"/>
      <c r="G383" s="38"/>
      <c r="H383" s="63"/>
      <c r="I383" s="38"/>
      <c r="J383"/>
    </row>
    <row r="384" spans="1:10" s="53" customFormat="1">
      <c r="A384" s="31"/>
      <c r="B384" s="2"/>
      <c r="D384"/>
      <c r="E384"/>
      <c r="F384"/>
      <c r="G384" s="38"/>
      <c r="H384" s="63"/>
      <c r="I384" s="38"/>
      <c r="J384"/>
    </row>
    <row r="385" spans="1:10" s="53" customFormat="1">
      <c r="A385" s="31"/>
      <c r="B385" s="2"/>
      <c r="D385"/>
      <c r="E385"/>
      <c r="F385"/>
      <c r="G385" s="38"/>
      <c r="H385" s="63"/>
      <c r="I385" s="38"/>
      <c r="J385"/>
    </row>
    <row r="386" spans="1:10" s="53" customFormat="1">
      <c r="A386" s="31"/>
      <c r="B386" s="2"/>
      <c r="D386"/>
      <c r="E386"/>
      <c r="F386"/>
      <c r="G386" s="38"/>
      <c r="H386" s="63"/>
      <c r="I386" s="38"/>
      <c r="J386"/>
    </row>
    <row r="387" spans="1:10" s="53" customFormat="1">
      <c r="A387" s="31"/>
      <c r="B387" s="2"/>
      <c r="D387"/>
      <c r="E387"/>
      <c r="F387"/>
      <c r="G387" s="38"/>
      <c r="H387" s="63"/>
      <c r="I387" s="38"/>
      <c r="J387"/>
    </row>
    <row r="388" spans="1:10" s="53" customFormat="1">
      <c r="A388" s="31"/>
      <c r="B388" s="2"/>
      <c r="D388"/>
      <c r="E388"/>
      <c r="F388"/>
      <c r="G388" s="38"/>
      <c r="H388" s="63"/>
      <c r="I388" s="38"/>
      <c r="J388"/>
    </row>
    <row r="389" spans="1:10" s="53" customFormat="1">
      <c r="A389" s="31"/>
      <c r="B389" s="2"/>
      <c r="D389"/>
      <c r="E389"/>
      <c r="F389"/>
      <c r="G389" s="38"/>
      <c r="H389" s="63"/>
      <c r="I389" s="38"/>
      <c r="J389"/>
    </row>
    <row r="390" spans="1:10" s="53" customFormat="1">
      <c r="A390" s="31"/>
      <c r="B390" s="2"/>
      <c r="D390"/>
      <c r="E390"/>
      <c r="F390"/>
      <c r="G390" s="38"/>
      <c r="H390" s="63"/>
      <c r="I390" s="38"/>
      <c r="J390"/>
    </row>
    <row r="391" spans="1:10" s="53" customFormat="1">
      <c r="A391" s="31"/>
      <c r="B391" s="2"/>
      <c r="D391"/>
      <c r="E391"/>
      <c r="F391"/>
      <c r="G391" s="38"/>
      <c r="H391" s="63"/>
      <c r="I391" s="38"/>
      <c r="J391"/>
    </row>
    <row r="392" spans="1:10" s="53" customFormat="1">
      <c r="A392" s="31"/>
      <c r="B392" s="2"/>
      <c r="D392"/>
      <c r="E392"/>
      <c r="F392"/>
      <c r="G392" s="38"/>
      <c r="H392" s="63"/>
      <c r="I392" s="38"/>
      <c r="J392"/>
    </row>
    <row r="393" spans="1:10" s="53" customFormat="1">
      <c r="A393" s="31"/>
      <c r="B393" s="2"/>
      <c r="D393"/>
      <c r="E393"/>
      <c r="F393"/>
      <c r="G393" s="38"/>
      <c r="H393" s="63"/>
      <c r="I393" s="38"/>
      <c r="J393"/>
    </row>
    <row r="394" spans="1:10" s="53" customFormat="1">
      <c r="A394" s="31"/>
      <c r="B394" s="2"/>
      <c r="D394"/>
      <c r="E394"/>
      <c r="F394"/>
      <c r="G394" s="38"/>
      <c r="H394" s="63"/>
      <c r="I394" s="38"/>
      <c r="J394"/>
    </row>
    <row r="395" spans="1:10" s="53" customFormat="1">
      <c r="A395" s="31"/>
      <c r="B395" s="2"/>
      <c r="D395"/>
      <c r="E395"/>
      <c r="F395"/>
      <c r="G395" s="38"/>
      <c r="H395" s="63"/>
      <c r="I395" s="38"/>
      <c r="J395"/>
    </row>
    <row r="396" spans="1:10" s="53" customFormat="1">
      <c r="A396" s="31"/>
      <c r="B396" s="2"/>
      <c r="D396"/>
      <c r="E396"/>
      <c r="F396"/>
      <c r="G396" s="38"/>
      <c r="H396" s="63"/>
      <c r="I396" s="38"/>
      <c r="J396"/>
    </row>
    <row r="397" spans="1:10" s="53" customFormat="1">
      <c r="A397" s="31"/>
      <c r="B397" s="2"/>
      <c r="D397"/>
      <c r="E397"/>
      <c r="F397"/>
      <c r="G397" s="38"/>
      <c r="H397" s="63"/>
      <c r="I397" s="38"/>
      <c r="J397"/>
    </row>
    <row r="398" spans="1:10" s="53" customFormat="1">
      <c r="A398" s="31"/>
      <c r="B398" s="2"/>
      <c r="D398"/>
      <c r="E398"/>
      <c r="F398"/>
      <c r="G398" s="38"/>
      <c r="H398" s="63"/>
      <c r="I398" s="38"/>
      <c r="J398"/>
    </row>
    <row r="399" spans="1:10" s="53" customFormat="1">
      <c r="A399" s="31"/>
      <c r="B399" s="2"/>
      <c r="D399"/>
      <c r="E399"/>
      <c r="F399"/>
      <c r="G399" s="38"/>
      <c r="H399" s="63"/>
      <c r="I399" s="38"/>
      <c r="J399"/>
    </row>
    <row r="400" spans="1:10" s="53" customFormat="1">
      <c r="A400" s="31"/>
      <c r="B400" s="2"/>
      <c r="D400"/>
      <c r="E400"/>
      <c r="F400"/>
      <c r="G400" s="38"/>
      <c r="H400" s="63"/>
      <c r="I400" s="38"/>
      <c r="J400"/>
    </row>
    <row r="401" spans="1:10" s="53" customFormat="1">
      <c r="A401" s="31"/>
      <c r="B401" s="2"/>
      <c r="D401"/>
      <c r="E401"/>
      <c r="F401"/>
      <c r="G401" s="38"/>
      <c r="H401" s="63"/>
      <c r="I401" s="38"/>
      <c r="J401"/>
    </row>
    <row r="402" spans="1:10" s="53" customFormat="1">
      <c r="A402" s="31"/>
      <c r="B402" s="2"/>
      <c r="D402"/>
      <c r="E402"/>
      <c r="F402"/>
      <c r="G402" s="38"/>
      <c r="H402" s="63"/>
      <c r="I402" s="38"/>
      <c r="J402"/>
    </row>
    <row r="403" spans="1:10" s="53" customFormat="1">
      <c r="A403" s="31"/>
      <c r="B403" s="2"/>
      <c r="D403"/>
      <c r="E403"/>
      <c r="F403"/>
      <c r="G403" s="38"/>
      <c r="H403" s="63"/>
      <c r="I403" s="38"/>
      <c r="J403"/>
    </row>
    <row r="404" spans="1:10" s="53" customFormat="1">
      <c r="A404" s="31"/>
      <c r="B404" s="2"/>
      <c r="D404"/>
      <c r="E404"/>
      <c r="F404"/>
      <c r="G404" s="38"/>
      <c r="H404" s="63"/>
      <c r="I404" s="38"/>
      <c r="J404"/>
    </row>
    <row r="405" spans="1:10" s="53" customFormat="1">
      <c r="A405" s="31"/>
      <c r="B405" s="2"/>
      <c r="D405"/>
      <c r="E405"/>
      <c r="F405"/>
      <c r="G405" s="38"/>
      <c r="H405" s="63"/>
      <c r="I405" s="38"/>
      <c r="J405"/>
    </row>
    <row r="406" spans="1:10" s="53" customFormat="1">
      <c r="A406" s="31"/>
      <c r="B406" s="2"/>
      <c r="D406"/>
      <c r="E406"/>
      <c r="F406"/>
      <c r="G406" s="38"/>
      <c r="H406" s="63"/>
      <c r="I406" s="38"/>
      <c r="J406"/>
    </row>
    <row r="407" spans="1:10" s="53" customFormat="1">
      <c r="A407" s="31"/>
      <c r="B407" s="2"/>
      <c r="D407"/>
      <c r="E407"/>
      <c r="F407"/>
      <c r="G407" s="38"/>
      <c r="H407" s="63"/>
      <c r="I407" s="38"/>
      <c r="J407"/>
    </row>
    <row r="408" spans="1:10" s="53" customFormat="1">
      <c r="A408" s="31"/>
      <c r="B408" s="2"/>
      <c r="D408"/>
      <c r="E408"/>
      <c r="F408"/>
      <c r="G408" s="38"/>
      <c r="H408" s="63"/>
      <c r="I408" s="38"/>
      <c r="J408"/>
    </row>
    <row r="409" spans="1:10" s="53" customFormat="1">
      <c r="A409" s="31"/>
      <c r="B409" s="2"/>
      <c r="D409"/>
      <c r="E409"/>
      <c r="F409"/>
      <c r="G409" s="38"/>
      <c r="H409" s="63"/>
      <c r="I409" s="38"/>
      <c r="J409"/>
    </row>
    <row r="410" spans="1:10" s="53" customFormat="1">
      <c r="A410" s="31"/>
      <c r="B410" s="2"/>
      <c r="D410"/>
      <c r="E410"/>
      <c r="F410"/>
      <c r="G410" s="38"/>
      <c r="H410" s="63"/>
      <c r="I410" s="38"/>
      <c r="J410"/>
    </row>
    <row r="411" spans="1:10" s="53" customFormat="1">
      <c r="A411" s="31"/>
      <c r="B411" s="2"/>
      <c r="D411"/>
      <c r="E411"/>
      <c r="F411"/>
      <c r="G411" s="38"/>
      <c r="H411" s="63"/>
      <c r="I411" s="38"/>
      <c r="J411"/>
    </row>
    <row r="412" spans="1:10" s="53" customFormat="1">
      <c r="A412" s="31"/>
      <c r="B412" s="2"/>
      <c r="D412"/>
      <c r="E412"/>
      <c r="F412"/>
      <c r="G412" s="38"/>
      <c r="H412" s="63"/>
      <c r="I412" s="38"/>
      <c r="J412"/>
    </row>
    <row r="413" spans="1:10" s="53" customFormat="1">
      <c r="A413" s="31"/>
      <c r="B413" s="2"/>
      <c r="D413"/>
      <c r="E413"/>
      <c r="F413"/>
      <c r="G413" s="38"/>
      <c r="H413" s="63"/>
      <c r="I413" s="38"/>
      <c r="J413"/>
    </row>
    <row r="414" spans="1:10" s="53" customFormat="1">
      <c r="A414" s="31"/>
      <c r="B414" s="2"/>
      <c r="D414"/>
      <c r="E414"/>
      <c r="F414"/>
      <c r="G414" s="38"/>
      <c r="H414" s="63"/>
      <c r="I414" s="38"/>
      <c r="J414"/>
    </row>
    <row r="415" spans="1:10" s="53" customFormat="1">
      <c r="A415" s="31"/>
      <c r="B415" s="2"/>
      <c r="D415"/>
      <c r="E415"/>
      <c r="F415"/>
      <c r="G415" s="38"/>
      <c r="H415" s="63"/>
      <c r="I415" s="38"/>
      <c r="J415"/>
    </row>
    <row r="416" spans="1:10" s="53" customFormat="1">
      <c r="A416" s="31"/>
      <c r="B416" s="2"/>
      <c r="D416"/>
      <c r="E416"/>
      <c r="F416"/>
      <c r="G416" s="38"/>
      <c r="H416" s="63"/>
      <c r="I416" s="38"/>
      <c r="J416"/>
    </row>
    <row r="417" spans="1:10" s="53" customFormat="1">
      <c r="A417" s="31"/>
      <c r="B417" s="2"/>
      <c r="D417"/>
      <c r="E417"/>
      <c r="F417"/>
      <c r="G417" s="38"/>
      <c r="H417" s="63"/>
      <c r="I417" s="38"/>
      <c r="J417"/>
    </row>
    <row r="418" spans="1:10" s="53" customFormat="1">
      <c r="A418" s="31"/>
      <c r="B418" s="2"/>
      <c r="D418"/>
      <c r="E418"/>
      <c r="F418"/>
      <c r="G418" s="38"/>
      <c r="H418" s="63"/>
      <c r="I418" s="38"/>
      <c r="J418"/>
    </row>
    <row r="419" spans="1:10" s="53" customFormat="1">
      <c r="A419" s="31"/>
      <c r="B419" s="2"/>
      <c r="D419"/>
      <c r="E419"/>
      <c r="F419"/>
      <c r="G419" s="38"/>
      <c r="H419" s="63"/>
      <c r="I419" s="38"/>
      <c r="J419"/>
    </row>
    <row r="420" spans="1:10" s="53" customFormat="1">
      <c r="A420" s="31"/>
      <c r="B420" s="2"/>
      <c r="D420"/>
      <c r="E420"/>
      <c r="F420"/>
      <c r="G420" s="38"/>
      <c r="H420" s="63"/>
      <c r="I420" s="38"/>
      <c r="J420"/>
    </row>
    <row r="421" spans="1:10" s="53" customFormat="1">
      <c r="A421" s="31"/>
      <c r="B421" s="2"/>
      <c r="D421"/>
      <c r="E421"/>
      <c r="F421"/>
      <c r="G421" s="38"/>
      <c r="H421" s="63"/>
      <c r="I421" s="38"/>
      <c r="J421"/>
    </row>
    <row r="422" spans="1:10" s="53" customFormat="1">
      <c r="A422" s="31"/>
      <c r="B422" s="2"/>
      <c r="D422"/>
      <c r="E422"/>
      <c r="F422"/>
      <c r="G422" s="38"/>
      <c r="H422" s="63"/>
      <c r="I422" s="38"/>
      <c r="J422"/>
    </row>
    <row r="423" spans="1:10" s="53" customFormat="1">
      <c r="A423" s="31"/>
      <c r="B423" s="2"/>
      <c r="D423"/>
      <c r="E423"/>
      <c r="F423"/>
      <c r="G423" s="38"/>
      <c r="H423" s="63"/>
      <c r="I423" s="38"/>
      <c r="J423"/>
    </row>
    <row r="424" spans="1:10" s="53" customFormat="1">
      <c r="A424" s="31"/>
      <c r="B424" s="2"/>
      <c r="D424"/>
      <c r="E424"/>
      <c r="F424"/>
      <c r="G424" s="38"/>
      <c r="H424" s="63"/>
      <c r="I424" s="38"/>
      <c r="J424"/>
    </row>
    <row r="425" spans="1:10" s="53" customFormat="1">
      <c r="A425" s="31"/>
      <c r="B425" s="2"/>
      <c r="D425"/>
      <c r="E425"/>
      <c r="F425"/>
      <c r="G425" s="38"/>
      <c r="H425" s="63"/>
      <c r="I425" s="38"/>
      <c r="J425"/>
    </row>
    <row r="426" spans="1:10" s="53" customFormat="1">
      <c r="A426" s="31"/>
      <c r="B426" s="2"/>
      <c r="D426"/>
      <c r="E426"/>
      <c r="F426"/>
      <c r="G426" s="38"/>
      <c r="H426" s="63"/>
      <c r="I426" s="38"/>
      <c r="J426"/>
    </row>
    <row r="427" spans="1:10" s="53" customFormat="1">
      <c r="A427" s="31"/>
      <c r="B427" s="2"/>
      <c r="D427"/>
      <c r="E427"/>
      <c r="F427"/>
      <c r="G427" s="38"/>
      <c r="H427" s="63"/>
      <c r="I427" s="38"/>
      <c r="J427"/>
    </row>
    <row r="428" spans="1:10" s="53" customFormat="1">
      <c r="A428" s="31"/>
      <c r="B428" s="2"/>
      <c r="D428"/>
      <c r="E428"/>
      <c r="F428"/>
      <c r="G428" s="38"/>
      <c r="H428" s="63"/>
      <c r="I428" s="38"/>
      <c r="J428"/>
    </row>
    <row r="429" spans="1:10" s="53" customFormat="1">
      <c r="A429" s="31"/>
      <c r="B429" s="2"/>
      <c r="D429"/>
      <c r="E429"/>
      <c r="F429"/>
      <c r="G429" s="38"/>
      <c r="H429" s="63"/>
      <c r="I429" s="38"/>
      <c r="J429"/>
    </row>
    <row r="430" spans="1:10" s="53" customFormat="1">
      <c r="A430" s="31"/>
      <c r="B430" s="2"/>
      <c r="D430"/>
      <c r="E430"/>
      <c r="F430"/>
      <c r="G430" s="38"/>
      <c r="H430" s="63"/>
      <c r="I430" s="38"/>
      <c r="J430"/>
    </row>
    <row r="431" spans="1:10" s="53" customFormat="1">
      <c r="A431" s="31"/>
      <c r="B431" s="2"/>
      <c r="D431"/>
      <c r="E431"/>
      <c r="F431"/>
      <c r="G431" s="38"/>
      <c r="H431" s="63"/>
      <c r="I431" s="38"/>
      <c r="J431"/>
    </row>
    <row r="432" spans="1:10" s="53" customFormat="1">
      <c r="A432" s="31"/>
      <c r="B432" s="2"/>
      <c r="D432"/>
      <c r="E432"/>
      <c r="F432"/>
      <c r="G432" s="38"/>
      <c r="H432" s="63"/>
      <c r="I432" s="38"/>
      <c r="J432"/>
    </row>
    <row r="433" spans="1:10" s="53" customFormat="1">
      <c r="A433" s="31"/>
      <c r="B433" s="2"/>
      <c r="D433"/>
      <c r="E433"/>
      <c r="F433"/>
      <c r="G433" s="38"/>
      <c r="H433" s="63"/>
      <c r="I433" s="38"/>
      <c r="J433"/>
    </row>
    <row r="434" spans="1:10" s="53" customFormat="1">
      <c r="A434" s="31"/>
      <c r="B434" s="2"/>
      <c r="D434"/>
      <c r="E434"/>
      <c r="F434"/>
      <c r="G434" s="38"/>
      <c r="H434" s="63"/>
      <c r="I434" s="38"/>
      <c r="J434"/>
    </row>
    <row r="435" spans="1:10" s="53" customFormat="1">
      <c r="A435" s="31"/>
      <c r="B435" s="2"/>
      <c r="D435"/>
      <c r="E435"/>
      <c r="F435"/>
      <c r="G435" s="38"/>
      <c r="H435" s="63"/>
      <c r="I435" s="38"/>
      <c r="J435"/>
    </row>
    <row r="436" spans="1:10" s="53" customFormat="1">
      <c r="A436" s="31"/>
      <c r="B436" s="2"/>
      <c r="D436"/>
      <c r="E436"/>
      <c r="F436"/>
      <c r="G436" s="38"/>
      <c r="H436" s="63"/>
      <c r="I436" s="38"/>
      <c r="J436"/>
    </row>
    <row r="437" spans="1:10" s="53" customFormat="1">
      <c r="A437" s="31"/>
      <c r="B437" s="2"/>
      <c r="D437"/>
      <c r="E437"/>
      <c r="F437"/>
      <c r="G437" s="38"/>
      <c r="H437" s="63"/>
      <c r="I437" s="38"/>
      <c r="J437"/>
    </row>
    <row r="438" spans="1:10" s="53" customFormat="1">
      <c r="A438" s="31"/>
      <c r="B438" s="2"/>
      <c r="D438"/>
      <c r="E438"/>
      <c r="F438"/>
      <c r="G438" s="38"/>
      <c r="H438" s="63"/>
      <c r="I438" s="38"/>
      <c r="J438"/>
    </row>
    <row r="439" spans="1:10" s="53" customFormat="1">
      <c r="A439" s="31"/>
      <c r="B439" s="2"/>
      <c r="D439"/>
      <c r="E439"/>
      <c r="F439"/>
      <c r="G439" s="38"/>
      <c r="H439" s="63"/>
      <c r="I439" s="38"/>
      <c r="J439"/>
    </row>
    <row r="440" spans="1:10" s="53" customFormat="1">
      <c r="A440" s="31"/>
      <c r="B440" s="2"/>
      <c r="D440"/>
      <c r="E440"/>
      <c r="F440"/>
      <c r="G440" s="38"/>
      <c r="H440" s="63"/>
      <c r="I440" s="38"/>
      <c r="J440"/>
    </row>
    <row r="441" spans="1:10" s="53" customFormat="1">
      <c r="A441" s="31"/>
      <c r="B441" s="2"/>
      <c r="D441"/>
      <c r="E441"/>
      <c r="F441"/>
      <c r="G441" s="38"/>
      <c r="H441" s="63"/>
      <c r="I441" s="38"/>
      <c r="J441"/>
    </row>
    <row r="442" spans="1:10" s="53" customFormat="1">
      <c r="A442" s="31"/>
      <c r="B442" s="2"/>
      <c r="D442"/>
      <c r="E442"/>
      <c r="F442"/>
      <c r="G442" s="38"/>
      <c r="H442" s="63"/>
      <c r="I442" s="38"/>
      <c r="J442"/>
    </row>
    <row r="443" spans="1:10" s="53" customFormat="1">
      <c r="A443" s="31"/>
      <c r="B443" s="2"/>
      <c r="D443"/>
      <c r="E443"/>
      <c r="F443"/>
      <c r="G443" s="38"/>
      <c r="H443" s="63"/>
      <c r="I443" s="38"/>
      <c r="J443"/>
    </row>
    <row r="444" spans="1:10" s="53" customFormat="1">
      <c r="A444" s="31"/>
      <c r="B444" s="2"/>
      <c r="D444"/>
      <c r="E444"/>
      <c r="F444"/>
      <c r="G444" s="38"/>
      <c r="H444" s="63"/>
      <c r="I444" s="38"/>
      <c r="J444"/>
    </row>
    <row r="445" spans="1:10" s="53" customFormat="1">
      <c r="A445" s="31"/>
      <c r="B445" s="2"/>
      <c r="D445"/>
      <c r="E445"/>
      <c r="F445"/>
      <c r="G445" s="38"/>
      <c r="H445" s="63"/>
      <c r="I445" s="38"/>
      <c r="J445"/>
    </row>
    <row r="446" spans="1:10" s="53" customFormat="1">
      <c r="A446" s="31"/>
      <c r="B446" s="2"/>
      <c r="D446"/>
      <c r="E446"/>
      <c r="F446"/>
      <c r="G446" s="38"/>
      <c r="H446" s="63"/>
      <c r="I446" s="38"/>
      <c r="J446"/>
    </row>
    <row r="447" spans="1:10" s="53" customFormat="1">
      <c r="A447" s="31"/>
      <c r="B447" s="2"/>
      <c r="D447"/>
      <c r="E447"/>
      <c r="F447"/>
      <c r="G447" s="38"/>
      <c r="H447" s="63"/>
      <c r="I447" s="38"/>
      <c r="J447"/>
    </row>
    <row r="448" spans="1:10" s="53" customFormat="1">
      <c r="A448" s="31"/>
      <c r="B448" s="2"/>
      <c r="D448"/>
      <c r="E448"/>
      <c r="F448"/>
      <c r="G448" s="38"/>
      <c r="H448" s="63"/>
      <c r="I448" s="38"/>
      <c r="J448"/>
    </row>
    <row r="449" spans="1:10" s="53" customFormat="1">
      <c r="A449" s="31"/>
      <c r="B449" s="2"/>
      <c r="D449"/>
      <c r="E449"/>
      <c r="F449"/>
      <c r="G449" s="38"/>
      <c r="H449" s="63"/>
      <c r="I449" s="38"/>
      <c r="J449"/>
    </row>
    <row r="450" spans="1:10" s="53" customFormat="1">
      <c r="A450" s="31"/>
      <c r="B450" s="2"/>
      <c r="D450"/>
      <c r="E450"/>
      <c r="F450"/>
      <c r="G450" s="38"/>
      <c r="H450" s="63"/>
      <c r="I450" s="38"/>
      <c r="J450"/>
    </row>
    <row r="451" spans="1:10" s="53" customFormat="1">
      <c r="A451" s="31"/>
      <c r="B451" s="2"/>
      <c r="D451"/>
      <c r="E451"/>
      <c r="F451"/>
      <c r="G451" s="38"/>
      <c r="H451" s="63"/>
      <c r="I451" s="38"/>
      <c r="J451"/>
    </row>
    <row r="452" spans="1:10" s="53" customFormat="1">
      <c r="A452" s="31"/>
      <c r="B452" s="2"/>
      <c r="D452"/>
      <c r="E452"/>
      <c r="F452"/>
      <c r="G452" s="38"/>
      <c r="H452" s="63"/>
      <c r="I452" s="38"/>
      <c r="J452"/>
    </row>
    <row r="453" spans="1:10" s="53" customFormat="1">
      <c r="A453" s="31"/>
      <c r="B453" s="2"/>
      <c r="D453"/>
      <c r="E453"/>
      <c r="F453"/>
      <c r="G453" s="38"/>
      <c r="H453" s="63"/>
      <c r="I453" s="38"/>
      <c r="J453"/>
    </row>
    <row r="454" spans="1:10" s="53" customFormat="1">
      <c r="A454" s="31"/>
      <c r="B454" s="2"/>
      <c r="D454"/>
      <c r="E454"/>
      <c r="F454"/>
      <c r="G454" s="38"/>
      <c r="H454" s="63"/>
      <c r="I454" s="38"/>
      <c r="J454"/>
    </row>
    <row r="455" spans="1:10" s="53" customFormat="1">
      <c r="A455" s="31"/>
      <c r="B455" s="2"/>
      <c r="D455"/>
      <c r="E455"/>
      <c r="F455"/>
      <c r="G455" s="38"/>
      <c r="H455" s="63"/>
      <c r="I455" s="38"/>
      <c r="J455"/>
    </row>
    <row r="456" spans="1:10" s="53" customFormat="1">
      <c r="A456" s="31"/>
      <c r="B456" s="2"/>
      <c r="D456"/>
      <c r="E456"/>
      <c r="F456"/>
      <c r="G456" s="38"/>
      <c r="H456" s="63"/>
      <c r="I456" s="38"/>
      <c r="J456"/>
    </row>
    <row r="457" spans="1:10" s="53" customFormat="1">
      <c r="A457" s="31"/>
      <c r="B457" s="2"/>
      <c r="D457"/>
      <c r="E457"/>
      <c r="F457"/>
      <c r="G457" s="38"/>
      <c r="H457" s="63"/>
      <c r="I457" s="38"/>
      <c r="J457"/>
    </row>
    <row r="458" spans="1:10" s="53" customFormat="1">
      <c r="A458" s="31"/>
      <c r="B458" s="2"/>
      <c r="D458"/>
      <c r="E458"/>
      <c r="F458"/>
      <c r="G458" s="38"/>
      <c r="H458" s="63"/>
      <c r="I458" s="38"/>
      <c r="J458"/>
    </row>
    <row r="459" spans="1:10" s="53" customFormat="1">
      <c r="A459" s="31"/>
      <c r="B459" s="2"/>
      <c r="D459"/>
      <c r="E459"/>
      <c r="F459"/>
      <c r="G459" s="38"/>
      <c r="H459" s="63"/>
      <c r="I459" s="38"/>
      <c r="J459"/>
    </row>
    <row r="460" spans="1:10" s="53" customFormat="1">
      <c r="A460" s="31"/>
      <c r="B460" s="2"/>
      <c r="D460"/>
      <c r="E460"/>
      <c r="F460"/>
      <c r="G460" s="38"/>
      <c r="H460" s="63"/>
      <c r="I460" s="38"/>
      <c r="J460"/>
    </row>
    <row r="461" spans="1:10" s="53" customFormat="1">
      <c r="A461" s="31"/>
      <c r="B461" s="2"/>
      <c r="D461"/>
      <c r="E461"/>
      <c r="F461"/>
      <c r="G461" s="38"/>
      <c r="H461" s="63"/>
      <c r="I461" s="38"/>
      <c r="J461"/>
    </row>
    <row r="462" spans="1:10" s="53" customFormat="1">
      <c r="A462" s="31"/>
      <c r="B462" s="2"/>
      <c r="D462"/>
      <c r="E462"/>
      <c r="F462"/>
      <c r="G462" s="38"/>
      <c r="H462" s="63"/>
      <c r="I462" s="38"/>
      <c r="J462"/>
    </row>
    <row r="463" spans="1:10" s="53" customFormat="1">
      <c r="A463" s="31"/>
      <c r="B463" s="2"/>
      <c r="D463"/>
      <c r="E463"/>
      <c r="F463"/>
      <c r="G463" s="38"/>
      <c r="H463" s="63"/>
      <c r="I463" s="38"/>
      <c r="J463"/>
    </row>
    <row r="464" spans="1:10" s="53" customFormat="1">
      <c r="A464" s="31"/>
      <c r="B464" s="2"/>
      <c r="D464"/>
      <c r="E464"/>
      <c r="F464"/>
      <c r="G464" s="38"/>
      <c r="H464" s="63"/>
      <c r="I464" s="38"/>
      <c r="J464"/>
    </row>
    <row r="465" spans="1:10" s="53" customFormat="1">
      <c r="A465" s="31"/>
      <c r="B465" s="2"/>
      <c r="D465"/>
      <c r="E465"/>
      <c r="F465"/>
      <c r="G465" s="38"/>
      <c r="H465" s="63"/>
      <c r="I465" s="38"/>
      <c r="J465"/>
    </row>
    <row r="466" spans="1:10" s="53" customFormat="1">
      <c r="A466" s="31"/>
      <c r="B466" s="2"/>
      <c r="D466"/>
      <c r="E466"/>
      <c r="F466"/>
      <c r="G466" s="38"/>
      <c r="H466" s="63"/>
      <c r="I466" s="38"/>
      <c r="J466"/>
    </row>
    <row r="467" spans="1:10" s="53" customFormat="1">
      <c r="A467" s="31"/>
      <c r="B467" s="2"/>
      <c r="D467"/>
      <c r="E467"/>
      <c r="F467"/>
      <c r="G467" s="38"/>
      <c r="H467" s="63"/>
      <c r="I467" s="38"/>
      <c r="J467"/>
    </row>
    <row r="468" spans="1:10" s="53" customFormat="1">
      <c r="A468" s="31"/>
      <c r="B468" s="2"/>
      <c r="D468"/>
      <c r="E468"/>
      <c r="F468"/>
      <c r="G468" s="38"/>
      <c r="H468" s="63"/>
      <c r="I468" s="38"/>
      <c r="J468"/>
    </row>
    <row r="469" spans="1:10" s="53" customFormat="1">
      <c r="A469" s="31"/>
      <c r="B469" s="2"/>
      <c r="D469"/>
      <c r="E469"/>
      <c r="F469"/>
      <c r="G469" s="38"/>
      <c r="H469" s="63"/>
      <c r="I469" s="38"/>
      <c r="J469"/>
    </row>
    <row r="470" spans="1:10" s="53" customFormat="1">
      <c r="A470" s="31"/>
      <c r="B470" s="2"/>
      <c r="D470"/>
      <c r="E470"/>
      <c r="F470"/>
      <c r="G470" s="38"/>
      <c r="H470" s="63"/>
      <c r="I470" s="38"/>
      <c r="J470"/>
    </row>
    <row r="471" spans="1:10" s="53" customFormat="1">
      <c r="A471" s="31"/>
      <c r="B471" s="2"/>
      <c r="D471"/>
      <c r="E471"/>
      <c r="F471"/>
      <c r="G471" s="38"/>
      <c r="H471" s="63"/>
      <c r="I471" s="38"/>
      <c r="J471"/>
    </row>
    <row r="472" spans="1:10" s="53" customFormat="1">
      <c r="A472" s="31"/>
      <c r="B472" s="2"/>
      <c r="D472"/>
      <c r="E472"/>
      <c r="F472"/>
      <c r="G472" s="38"/>
      <c r="H472" s="63"/>
      <c r="I472" s="38"/>
      <c r="J472"/>
    </row>
    <row r="473" spans="1:10" s="53" customFormat="1">
      <c r="A473" s="31"/>
      <c r="B473" s="2"/>
      <c r="D473"/>
      <c r="E473"/>
      <c r="F473"/>
      <c r="G473" s="38"/>
      <c r="H473" s="63"/>
      <c r="I473" s="38"/>
      <c r="J473"/>
    </row>
    <row r="474" spans="1:10" s="53" customFormat="1">
      <c r="A474" s="31"/>
      <c r="B474" s="2"/>
      <c r="D474"/>
      <c r="E474"/>
      <c r="F474"/>
      <c r="G474" s="38"/>
      <c r="H474" s="63"/>
      <c r="I474" s="38"/>
      <c r="J474"/>
    </row>
    <row r="475" spans="1:10" s="53" customFormat="1">
      <c r="A475" s="31"/>
      <c r="B475" s="2"/>
      <c r="D475"/>
      <c r="E475"/>
      <c r="F475"/>
      <c r="G475" s="38"/>
      <c r="H475" s="63"/>
      <c r="I475" s="38"/>
      <c r="J475"/>
    </row>
    <row r="476" spans="1:10" s="53" customFormat="1">
      <c r="A476" s="31"/>
      <c r="B476" s="2"/>
      <c r="D476"/>
      <c r="E476"/>
      <c r="F476"/>
      <c r="G476" s="38"/>
      <c r="H476" s="63"/>
      <c r="I476" s="38"/>
      <c r="J476"/>
    </row>
    <row r="477" spans="1:10" s="53" customFormat="1">
      <c r="A477" s="31"/>
      <c r="B477" s="2"/>
      <c r="D477"/>
      <c r="E477"/>
      <c r="F477"/>
      <c r="G477" s="38"/>
      <c r="H477" s="63"/>
      <c r="I477" s="38"/>
      <c r="J477"/>
    </row>
    <row r="478" spans="1:10" s="53" customFormat="1">
      <c r="A478" s="31"/>
      <c r="B478" s="2"/>
      <c r="D478"/>
      <c r="E478"/>
      <c r="F478"/>
      <c r="G478" s="38"/>
      <c r="H478" s="63"/>
      <c r="I478" s="38"/>
      <c r="J478"/>
    </row>
    <row r="479" spans="1:10" s="53" customFormat="1">
      <c r="A479" s="31"/>
      <c r="B479" s="2"/>
      <c r="D479"/>
      <c r="E479"/>
      <c r="F479"/>
      <c r="G479" s="38"/>
      <c r="H479" s="63"/>
      <c r="I479" s="38"/>
      <c r="J479"/>
    </row>
    <row r="480" spans="1:10" s="53" customFormat="1">
      <c r="A480" s="31"/>
      <c r="B480" s="2"/>
      <c r="D480"/>
      <c r="E480"/>
      <c r="F480"/>
      <c r="G480" s="38"/>
      <c r="H480" s="63"/>
      <c r="I480" s="38"/>
      <c r="J480"/>
    </row>
    <row r="481" spans="1:10" s="53" customFormat="1">
      <c r="A481" s="31"/>
      <c r="B481" s="2"/>
      <c r="D481"/>
      <c r="E481"/>
      <c r="F481"/>
      <c r="G481" s="38"/>
      <c r="H481" s="63"/>
      <c r="I481" s="38"/>
      <c r="J481"/>
    </row>
    <row r="482" spans="1:10" s="53" customFormat="1">
      <c r="A482" s="31"/>
      <c r="B482" s="2"/>
      <c r="D482"/>
      <c r="E482"/>
      <c r="F482"/>
      <c r="G482" s="38"/>
      <c r="H482" s="63"/>
      <c r="I482" s="38"/>
      <c r="J482"/>
    </row>
    <row r="483" spans="1:10" s="53" customFormat="1">
      <c r="A483" s="31"/>
      <c r="B483" s="2"/>
      <c r="D483"/>
      <c r="E483"/>
      <c r="F483"/>
      <c r="G483" s="38"/>
      <c r="H483" s="63"/>
      <c r="I483" s="38"/>
      <c r="J483"/>
    </row>
    <row r="484" spans="1:10" s="53" customFormat="1">
      <c r="A484" s="31"/>
      <c r="B484" s="2"/>
      <c r="D484"/>
      <c r="E484"/>
      <c r="F484"/>
      <c r="G484" s="38"/>
      <c r="H484" s="63"/>
      <c r="I484" s="38"/>
      <c r="J484"/>
    </row>
    <row r="485" spans="1:10" s="53" customFormat="1">
      <c r="A485" s="31"/>
      <c r="B485" s="2"/>
      <c r="D485"/>
      <c r="E485"/>
      <c r="F485"/>
      <c r="G485" s="38"/>
      <c r="H485" s="63"/>
      <c r="I485" s="38"/>
      <c r="J485"/>
    </row>
    <row r="486" spans="1:10" s="53" customFormat="1">
      <c r="A486" s="31"/>
      <c r="B486" s="2"/>
      <c r="D486"/>
      <c r="E486"/>
      <c r="F486"/>
      <c r="G486" s="38"/>
      <c r="H486" s="63"/>
      <c r="I486" s="38"/>
      <c r="J486"/>
    </row>
    <row r="487" spans="1:10" s="53" customFormat="1">
      <c r="A487" s="31"/>
      <c r="B487" s="2"/>
      <c r="D487"/>
      <c r="E487"/>
      <c r="F487"/>
      <c r="G487" s="38"/>
      <c r="H487" s="63"/>
      <c r="I487" s="38"/>
      <c r="J487"/>
    </row>
    <row r="488" spans="1:10" s="53" customFormat="1">
      <c r="A488" s="31"/>
      <c r="B488" s="2"/>
      <c r="D488"/>
      <c r="E488"/>
      <c r="F488"/>
      <c r="G488" s="38"/>
      <c r="H488" s="63"/>
      <c r="I488" s="38"/>
      <c r="J488"/>
    </row>
    <row r="489" spans="1:10" s="53" customFormat="1">
      <c r="A489" s="31"/>
      <c r="B489" s="2"/>
      <c r="D489"/>
      <c r="E489"/>
      <c r="F489"/>
      <c r="G489" s="38"/>
      <c r="H489" s="63"/>
      <c r="I489" s="38"/>
      <c r="J489"/>
    </row>
    <row r="490" spans="1:10" s="53" customFormat="1">
      <c r="A490" s="31"/>
      <c r="B490" s="2"/>
      <c r="D490"/>
      <c r="E490"/>
      <c r="F490"/>
      <c r="G490" s="38"/>
      <c r="H490" s="63"/>
      <c r="I490" s="38"/>
      <c r="J490"/>
    </row>
    <row r="491" spans="1:10" s="53" customFormat="1">
      <c r="A491" s="31"/>
      <c r="B491" s="2"/>
      <c r="D491"/>
      <c r="E491"/>
      <c r="F491"/>
      <c r="G491" s="38"/>
      <c r="H491" s="63"/>
      <c r="I491" s="38"/>
      <c r="J491"/>
    </row>
    <row r="492" spans="1:10" s="53" customFormat="1">
      <c r="A492" s="31"/>
      <c r="B492" s="2"/>
      <c r="D492"/>
      <c r="E492"/>
      <c r="F492"/>
      <c r="G492" s="38"/>
      <c r="H492" s="63"/>
      <c r="I492" s="38"/>
      <c r="J492"/>
    </row>
    <row r="493" spans="1:10" s="53" customFormat="1">
      <c r="A493" s="31"/>
      <c r="B493" s="2"/>
      <c r="D493"/>
      <c r="E493"/>
      <c r="F493"/>
      <c r="G493" s="38"/>
      <c r="H493" s="63"/>
      <c r="I493" s="38"/>
      <c r="J493"/>
    </row>
    <row r="494" spans="1:10" s="53" customFormat="1">
      <c r="A494" s="31"/>
      <c r="B494" s="2"/>
      <c r="D494"/>
      <c r="E494"/>
      <c r="F494"/>
      <c r="G494" s="38"/>
      <c r="H494" s="63"/>
      <c r="I494" s="38"/>
      <c r="J494"/>
    </row>
    <row r="495" spans="1:10" s="53" customFormat="1">
      <c r="A495" s="31"/>
      <c r="B495" s="2"/>
      <c r="D495"/>
      <c r="E495"/>
      <c r="F495"/>
      <c r="G495" s="38"/>
      <c r="H495" s="63"/>
      <c r="I495" s="38"/>
      <c r="J495"/>
    </row>
    <row r="496" spans="1:10" s="53" customFormat="1">
      <c r="A496" s="31"/>
      <c r="B496" s="2"/>
      <c r="D496"/>
      <c r="E496"/>
      <c r="F496"/>
      <c r="G496" s="38"/>
      <c r="H496" s="63"/>
      <c r="I496" s="38"/>
      <c r="J496"/>
    </row>
    <row r="497" spans="1:10" s="53" customFormat="1">
      <c r="A497" s="31"/>
      <c r="B497" s="2"/>
      <c r="D497"/>
      <c r="E497"/>
      <c r="F497"/>
      <c r="G497" s="38"/>
      <c r="H497" s="63"/>
      <c r="I497" s="38"/>
      <c r="J497"/>
    </row>
    <row r="498" spans="1:10" s="53" customFormat="1">
      <c r="A498" s="31"/>
      <c r="B498" s="2"/>
      <c r="D498"/>
      <c r="E498"/>
      <c r="F498"/>
      <c r="G498" s="38"/>
      <c r="H498" s="63"/>
      <c r="I498" s="38"/>
      <c r="J498"/>
    </row>
    <row r="499" spans="1:10" s="53" customFormat="1">
      <c r="A499" s="31"/>
      <c r="B499" s="2"/>
      <c r="D499"/>
      <c r="E499"/>
      <c r="F499"/>
      <c r="G499" s="38"/>
      <c r="H499" s="63"/>
      <c r="I499" s="38"/>
      <c r="J499"/>
    </row>
    <row r="500" spans="1:10" s="53" customFormat="1">
      <c r="A500" s="31"/>
      <c r="B500" s="2"/>
      <c r="D500"/>
      <c r="E500"/>
      <c r="F500"/>
      <c r="G500" s="38"/>
      <c r="H500" s="63"/>
      <c r="I500" s="38"/>
      <c r="J500"/>
    </row>
    <row r="501" spans="1:10" s="53" customFormat="1">
      <c r="A501" s="31"/>
      <c r="B501" s="2"/>
      <c r="D501"/>
      <c r="E501"/>
      <c r="F501"/>
      <c r="G501" s="38"/>
      <c r="H501" s="63"/>
      <c r="I501" s="38"/>
      <c r="J501"/>
    </row>
    <row r="502" spans="1:10" s="53" customFormat="1">
      <c r="A502" s="31"/>
      <c r="B502" s="2"/>
      <c r="D502"/>
      <c r="E502"/>
      <c r="F502"/>
      <c r="G502" s="38"/>
      <c r="H502" s="63"/>
      <c r="I502" s="38"/>
      <c r="J502"/>
    </row>
    <row r="503" spans="1:10" s="53" customFormat="1">
      <c r="A503" s="31"/>
      <c r="B503" s="2"/>
      <c r="D503"/>
      <c r="E503"/>
      <c r="F503"/>
      <c r="G503" s="38"/>
      <c r="H503" s="63"/>
      <c r="I503" s="38"/>
      <c r="J503"/>
    </row>
    <row r="504" spans="1:10" s="53" customFormat="1">
      <c r="A504" s="31"/>
      <c r="B504" s="2"/>
      <c r="D504"/>
      <c r="E504"/>
      <c r="F504"/>
      <c r="G504" s="38"/>
      <c r="H504" s="63"/>
      <c r="I504" s="38"/>
      <c r="J504"/>
    </row>
    <row r="505" spans="1:10" s="53" customFormat="1">
      <c r="A505" s="31"/>
      <c r="B505" s="2"/>
      <c r="D505"/>
      <c r="E505"/>
      <c r="F505"/>
      <c r="G505" s="38"/>
      <c r="H505" s="63"/>
      <c r="I505" s="38"/>
      <c r="J505"/>
    </row>
    <row r="506" spans="1:10" s="53" customFormat="1">
      <c r="A506" s="31"/>
      <c r="B506" s="2"/>
      <c r="D506"/>
      <c r="E506"/>
      <c r="F506"/>
      <c r="G506" s="38"/>
      <c r="H506" s="63"/>
      <c r="I506" s="38"/>
      <c r="J506"/>
    </row>
    <row r="507" spans="1:10" s="53" customFormat="1">
      <c r="A507" s="31"/>
      <c r="B507" s="2"/>
      <c r="D507"/>
      <c r="E507"/>
      <c r="F507"/>
      <c r="G507" s="38"/>
      <c r="H507" s="63"/>
      <c r="I507" s="38"/>
      <c r="J507"/>
    </row>
    <row r="508" spans="1:10" s="53" customFormat="1">
      <c r="A508" s="31"/>
      <c r="B508" s="2"/>
      <c r="D508"/>
      <c r="E508"/>
      <c r="F508"/>
      <c r="G508" s="38"/>
      <c r="H508" s="63"/>
      <c r="I508" s="38"/>
      <c r="J508"/>
    </row>
    <row r="509" spans="1:10" s="53" customFormat="1">
      <c r="A509" s="31"/>
      <c r="B509" s="2"/>
      <c r="D509"/>
      <c r="E509"/>
      <c r="F509"/>
      <c r="G509" s="38"/>
      <c r="H509" s="63"/>
      <c r="I509" s="38"/>
      <c r="J509"/>
    </row>
    <row r="510" spans="1:10" s="53" customFormat="1">
      <c r="A510" s="31"/>
      <c r="B510" s="2"/>
      <c r="D510"/>
      <c r="E510"/>
      <c r="F510"/>
      <c r="G510" s="38"/>
      <c r="H510" s="63"/>
      <c r="I510" s="38"/>
      <c r="J510"/>
    </row>
    <row r="511" spans="1:10" s="53" customFormat="1">
      <c r="A511" s="31"/>
      <c r="B511" s="2"/>
      <c r="D511"/>
      <c r="E511"/>
      <c r="F511"/>
      <c r="G511" s="38"/>
      <c r="H511" s="63"/>
      <c r="I511" s="38"/>
      <c r="J511"/>
    </row>
    <row r="512" spans="1:10" s="53" customFormat="1">
      <c r="A512" s="31"/>
      <c r="B512" s="2"/>
      <c r="D512"/>
      <c r="E512"/>
      <c r="F512"/>
      <c r="G512" s="38"/>
      <c r="H512" s="63"/>
      <c r="I512" s="38"/>
      <c r="J512"/>
    </row>
    <row r="513" spans="1:10" s="53" customFormat="1">
      <c r="A513" s="31"/>
      <c r="B513" s="2"/>
      <c r="D513"/>
      <c r="E513"/>
      <c r="F513"/>
      <c r="G513" s="38"/>
      <c r="H513" s="63"/>
      <c r="I513" s="38"/>
      <c r="J513"/>
    </row>
    <row r="514" spans="1:10" s="53" customFormat="1">
      <c r="A514" s="31"/>
      <c r="B514" s="2"/>
      <c r="D514"/>
      <c r="E514"/>
      <c r="F514"/>
      <c r="G514" s="38"/>
      <c r="H514" s="63"/>
      <c r="I514" s="38"/>
      <c r="J514"/>
    </row>
    <row r="515" spans="1:10" s="53" customFormat="1">
      <c r="A515" s="31"/>
      <c r="B515" s="2"/>
      <c r="D515"/>
      <c r="E515"/>
      <c r="F515"/>
      <c r="G515" s="38"/>
      <c r="H515" s="63"/>
      <c r="I515" s="38"/>
      <c r="J515"/>
    </row>
    <row r="516" spans="1:10" s="53" customFormat="1">
      <c r="A516" s="31"/>
      <c r="B516" s="2"/>
      <c r="D516"/>
      <c r="E516"/>
      <c r="F516"/>
      <c r="G516" s="38"/>
      <c r="H516" s="63"/>
      <c r="I516" s="38"/>
      <c r="J516"/>
    </row>
    <row r="517" spans="1:10" s="53" customFormat="1">
      <c r="A517" s="31"/>
      <c r="B517" s="2"/>
      <c r="D517"/>
      <c r="E517"/>
      <c r="F517"/>
      <c r="G517" s="38"/>
      <c r="H517" s="63"/>
      <c r="I517" s="38"/>
      <c r="J517"/>
    </row>
    <row r="518" spans="1:10" s="53" customFormat="1">
      <c r="A518" s="31"/>
      <c r="B518" s="2"/>
      <c r="D518"/>
      <c r="E518"/>
      <c r="F518"/>
      <c r="G518" s="38"/>
      <c r="H518" s="63"/>
      <c r="I518" s="38"/>
      <c r="J518"/>
    </row>
    <row r="519" spans="1:10" s="53" customFormat="1">
      <c r="A519" s="31"/>
      <c r="B519" s="2"/>
      <c r="D519"/>
      <c r="E519"/>
      <c r="F519"/>
      <c r="G519" s="38"/>
      <c r="H519" s="63"/>
      <c r="I519" s="38"/>
      <c r="J519"/>
    </row>
    <row r="520" spans="1:10" s="53" customFormat="1">
      <c r="A520" s="31"/>
      <c r="B520" s="2"/>
      <c r="D520"/>
      <c r="E520"/>
      <c r="F520"/>
      <c r="G520" s="38"/>
      <c r="H520" s="63"/>
      <c r="I520" s="38"/>
      <c r="J520"/>
    </row>
    <row r="521" spans="1:10" s="53" customFormat="1">
      <c r="A521" s="31"/>
      <c r="B521" s="2"/>
      <c r="D521"/>
      <c r="E521"/>
      <c r="F521"/>
      <c r="G521" s="38"/>
      <c r="H521" s="63"/>
      <c r="I521" s="38"/>
      <c r="J521"/>
    </row>
    <row r="522" spans="1:10" s="53" customFormat="1">
      <c r="A522" s="31"/>
      <c r="B522" s="2"/>
      <c r="D522"/>
      <c r="E522"/>
      <c r="F522"/>
      <c r="G522" s="38"/>
      <c r="H522" s="63"/>
      <c r="I522" s="38"/>
      <c r="J522"/>
    </row>
    <row r="523" spans="1:10" s="53" customFormat="1">
      <c r="A523" s="31"/>
      <c r="B523" s="2"/>
      <c r="D523"/>
      <c r="E523"/>
      <c r="F523"/>
      <c r="G523" s="38"/>
      <c r="H523" s="63"/>
      <c r="I523" s="38"/>
      <c r="J523"/>
    </row>
    <row r="524" spans="1:10" s="53" customFormat="1">
      <c r="A524" s="31"/>
      <c r="B524" s="2"/>
      <c r="D524"/>
      <c r="E524"/>
      <c r="F524"/>
      <c r="G524" s="38"/>
      <c r="H524" s="63"/>
      <c r="I524" s="38"/>
      <c r="J524"/>
    </row>
    <row r="525" spans="1:10" s="53" customFormat="1">
      <c r="A525" s="31"/>
      <c r="B525" s="2"/>
      <c r="D525"/>
      <c r="E525"/>
      <c r="F525"/>
      <c r="G525" s="38"/>
      <c r="H525" s="63"/>
      <c r="I525" s="38"/>
      <c r="J525"/>
    </row>
    <row r="526" spans="1:10" s="53" customFormat="1">
      <c r="A526" s="31"/>
      <c r="B526" s="2"/>
      <c r="D526"/>
      <c r="E526"/>
      <c r="F526"/>
      <c r="G526" s="38"/>
      <c r="H526" s="63"/>
      <c r="I526" s="38"/>
      <c r="J526"/>
    </row>
    <row r="527" spans="1:10" s="53" customFormat="1">
      <c r="A527" s="31"/>
      <c r="B527" s="2"/>
      <c r="D527"/>
      <c r="E527"/>
      <c r="F527"/>
      <c r="G527" s="38"/>
      <c r="H527" s="63"/>
      <c r="I527" s="38"/>
      <c r="J527"/>
    </row>
    <row r="528" spans="1:10" s="53" customFormat="1">
      <c r="A528" s="31"/>
      <c r="B528" s="2"/>
      <c r="D528"/>
      <c r="E528"/>
      <c r="F528"/>
      <c r="G528" s="38"/>
      <c r="H528" s="63"/>
      <c r="I528" s="38"/>
      <c r="J528"/>
    </row>
    <row r="529" spans="1:10" s="53" customFormat="1">
      <c r="A529" s="31"/>
      <c r="B529" s="2"/>
      <c r="D529"/>
      <c r="E529"/>
      <c r="F529"/>
      <c r="G529" s="38"/>
      <c r="H529" s="63"/>
      <c r="I529" s="38"/>
      <c r="J529"/>
    </row>
    <row r="530" spans="1:10" s="53" customFormat="1">
      <c r="A530" s="31"/>
      <c r="B530" s="2"/>
      <c r="D530"/>
      <c r="E530"/>
      <c r="F530"/>
      <c r="G530" s="38"/>
      <c r="H530" s="63"/>
      <c r="I530" s="38"/>
      <c r="J530"/>
    </row>
    <row r="531" spans="1:10" s="53" customFormat="1">
      <c r="A531" s="31"/>
      <c r="B531" s="2"/>
      <c r="D531"/>
      <c r="E531"/>
      <c r="F531"/>
      <c r="G531" s="38"/>
      <c r="H531" s="63"/>
      <c r="I531" s="38"/>
      <c r="J531"/>
    </row>
    <row r="532" spans="1:10" s="53" customFormat="1">
      <c r="A532" s="31"/>
      <c r="B532" s="2"/>
      <c r="D532"/>
      <c r="E532"/>
      <c r="F532"/>
      <c r="G532" s="38"/>
      <c r="H532" s="63"/>
      <c r="I532" s="38"/>
      <c r="J532"/>
    </row>
    <row r="533" spans="1:10" s="53" customFormat="1">
      <c r="A533" s="31"/>
      <c r="B533" s="2"/>
      <c r="D533"/>
      <c r="E533"/>
      <c r="F533"/>
      <c r="G533" s="38"/>
      <c r="H533" s="63"/>
      <c r="I533" s="38"/>
      <c r="J533"/>
    </row>
    <row r="534" spans="1:10" s="53" customFormat="1">
      <c r="A534" s="31"/>
      <c r="B534" s="2"/>
      <c r="D534"/>
      <c r="E534"/>
      <c r="F534"/>
      <c r="G534" s="38"/>
      <c r="H534" s="63"/>
      <c r="I534" s="38"/>
      <c r="J534"/>
    </row>
    <row r="535" spans="1:10" s="53" customFormat="1">
      <c r="A535" s="31"/>
      <c r="B535" s="2"/>
      <c r="D535"/>
      <c r="E535"/>
      <c r="F535"/>
      <c r="G535" s="38"/>
      <c r="H535" s="63"/>
      <c r="I535" s="38"/>
      <c r="J535"/>
    </row>
    <row r="536" spans="1:10" s="53" customFormat="1">
      <c r="A536" s="31"/>
      <c r="B536" s="2"/>
      <c r="D536"/>
      <c r="E536"/>
      <c r="F536"/>
      <c r="G536" s="38"/>
      <c r="H536" s="63"/>
      <c r="I536" s="38"/>
      <c r="J536"/>
    </row>
    <row r="537" spans="1:10" s="53" customFormat="1">
      <c r="A537" s="31"/>
      <c r="B537" s="2"/>
      <c r="D537"/>
      <c r="E537"/>
      <c r="F537"/>
      <c r="G537" s="38"/>
      <c r="H537" s="63"/>
      <c r="I537" s="38"/>
      <c r="J537"/>
    </row>
    <row r="538" spans="1:10" s="53" customFormat="1">
      <c r="A538" s="31"/>
      <c r="B538" s="2"/>
      <c r="D538"/>
      <c r="E538"/>
      <c r="F538"/>
      <c r="G538" s="38"/>
      <c r="H538" s="63"/>
      <c r="I538" s="38"/>
      <c r="J538"/>
    </row>
    <row r="539" spans="1:10" s="53" customFormat="1">
      <c r="A539" s="31"/>
      <c r="B539" s="2"/>
      <c r="D539"/>
      <c r="E539"/>
      <c r="F539"/>
      <c r="G539" s="38"/>
      <c r="H539" s="63"/>
      <c r="I539" s="38"/>
      <c r="J539"/>
    </row>
    <row r="540" spans="1:10" s="53" customFormat="1">
      <c r="A540" s="31"/>
      <c r="B540" s="2"/>
      <c r="D540"/>
      <c r="E540"/>
      <c r="F540"/>
      <c r="G540" s="38"/>
      <c r="H540" s="63"/>
      <c r="I540" s="38"/>
      <c r="J540"/>
    </row>
    <row r="541" spans="1:10" s="53" customFormat="1">
      <c r="A541" s="31"/>
      <c r="B541" s="2"/>
      <c r="D541"/>
      <c r="E541"/>
      <c r="F541"/>
      <c r="G541" s="38"/>
      <c r="H541" s="63"/>
      <c r="I541" s="38"/>
      <c r="J541"/>
    </row>
    <row r="542" spans="1:10" s="53" customFormat="1">
      <c r="A542" s="31"/>
      <c r="B542" s="2"/>
      <c r="D542"/>
      <c r="E542"/>
      <c r="F542"/>
      <c r="G542" s="38"/>
      <c r="H542" s="63"/>
      <c r="I542" s="38"/>
      <c r="J542"/>
    </row>
    <row r="543" spans="1:10" s="53" customFormat="1">
      <c r="A543" s="31"/>
      <c r="B543" s="2"/>
      <c r="D543"/>
      <c r="E543"/>
      <c r="F543"/>
      <c r="G543" s="38"/>
      <c r="H543" s="63"/>
      <c r="I543" s="38"/>
      <c r="J543"/>
    </row>
    <row r="544" spans="1:10" s="53" customFormat="1">
      <c r="A544" s="31"/>
      <c r="B544" s="2"/>
      <c r="D544"/>
      <c r="E544"/>
      <c r="F544"/>
      <c r="G544" s="38"/>
      <c r="H544" s="63"/>
      <c r="I544" s="38"/>
      <c r="J544"/>
    </row>
    <row r="545" spans="1:10" s="53" customFormat="1">
      <c r="A545" s="31"/>
      <c r="B545" s="2"/>
      <c r="D545"/>
      <c r="E545"/>
      <c r="F545"/>
      <c r="G545" s="38"/>
      <c r="H545" s="63"/>
      <c r="I545" s="38"/>
      <c r="J545"/>
    </row>
    <row r="546" spans="1:10" s="53" customFormat="1">
      <c r="A546" s="31"/>
      <c r="B546" s="2"/>
      <c r="D546"/>
      <c r="E546"/>
      <c r="F546"/>
      <c r="G546" s="38"/>
      <c r="H546" s="63"/>
      <c r="I546" s="38"/>
      <c r="J546"/>
    </row>
    <row r="547" spans="1:10" s="53" customFormat="1">
      <c r="A547" s="31"/>
      <c r="B547" s="2"/>
      <c r="D547"/>
      <c r="E547"/>
      <c r="F547"/>
      <c r="G547" s="38"/>
      <c r="H547" s="63"/>
      <c r="I547" s="38"/>
      <c r="J547"/>
    </row>
    <row r="548" spans="1:10" s="53" customFormat="1">
      <c r="A548" s="31"/>
      <c r="B548" s="2"/>
      <c r="D548"/>
      <c r="E548"/>
      <c r="F548"/>
      <c r="G548" s="38"/>
      <c r="H548" s="63"/>
      <c r="I548" s="38"/>
      <c r="J548"/>
    </row>
    <row r="549" spans="1:10" s="53" customFormat="1">
      <c r="A549" s="31"/>
      <c r="B549" s="2"/>
      <c r="D549"/>
      <c r="E549"/>
      <c r="F549"/>
      <c r="G549" s="38"/>
      <c r="H549" s="63"/>
      <c r="I549" s="38"/>
      <c r="J549"/>
    </row>
    <row r="550" spans="1:10" s="53" customFormat="1">
      <c r="A550" s="31"/>
      <c r="B550" s="2"/>
      <c r="D550"/>
      <c r="E550"/>
      <c r="F550"/>
      <c r="G550" s="38"/>
      <c r="H550" s="63"/>
      <c r="I550" s="38"/>
      <c r="J550"/>
    </row>
    <row r="551" spans="1:10" s="53" customFormat="1">
      <c r="A551" s="31"/>
      <c r="B551" s="2"/>
      <c r="D551"/>
      <c r="E551"/>
      <c r="F551"/>
      <c r="G551" s="38"/>
      <c r="H551" s="63"/>
      <c r="I551" s="38"/>
      <c r="J551"/>
    </row>
    <row r="552" spans="1:10" s="53" customFormat="1">
      <c r="A552" s="31"/>
      <c r="B552" s="2"/>
      <c r="D552"/>
      <c r="E552"/>
      <c r="F552"/>
      <c r="G552" s="38"/>
      <c r="H552" s="63"/>
      <c r="I552" s="38"/>
      <c r="J552"/>
    </row>
    <row r="553" spans="1:10" s="53" customFormat="1">
      <c r="A553" s="31"/>
      <c r="B553" s="2"/>
      <c r="D553"/>
      <c r="E553"/>
      <c r="F553"/>
      <c r="G553" s="38"/>
      <c r="H553" s="63"/>
      <c r="I553" s="38"/>
      <c r="J553"/>
    </row>
    <row r="554" spans="1:10" s="53" customFormat="1">
      <c r="A554" s="31"/>
      <c r="B554" s="2"/>
      <c r="D554"/>
      <c r="E554"/>
      <c r="F554"/>
      <c r="G554" s="38"/>
      <c r="H554" s="63"/>
      <c r="I554" s="38"/>
      <c r="J554"/>
    </row>
    <row r="555" spans="1:10" s="53" customFormat="1">
      <c r="A555" s="31"/>
      <c r="B555" s="2"/>
      <c r="D555"/>
      <c r="E555"/>
      <c r="F555"/>
      <c r="G555" s="38"/>
      <c r="H555" s="63"/>
      <c r="I555" s="38"/>
      <c r="J555"/>
    </row>
    <row r="556" spans="1:10" s="53" customFormat="1">
      <c r="A556" s="31"/>
      <c r="B556" s="2"/>
      <c r="D556"/>
      <c r="E556"/>
      <c r="F556"/>
      <c r="G556" s="38"/>
      <c r="H556" s="63"/>
      <c r="I556" s="38"/>
      <c r="J556"/>
    </row>
    <row r="557" spans="1:10" s="53" customFormat="1">
      <c r="A557" s="31"/>
      <c r="B557" s="2"/>
      <c r="D557"/>
      <c r="E557"/>
      <c r="F557"/>
      <c r="G557" s="38"/>
      <c r="H557" s="63"/>
      <c r="I557" s="38"/>
      <c r="J557"/>
    </row>
    <row r="558" spans="1:10" s="53" customFormat="1">
      <c r="A558" s="31"/>
      <c r="B558" s="2"/>
      <c r="D558"/>
      <c r="E558"/>
      <c r="F558"/>
      <c r="G558" s="38"/>
      <c r="H558" s="63"/>
      <c r="I558" s="38"/>
      <c r="J558"/>
    </row>
    <row r="559" spans="1:10" s="53" customFormat="1">
      <c r="A559" s="31"/>
      <c r="B559" s="2"/>
      <c r="D559"/>
      <c r="E559"/>
      <c r="F559"/>
      <c r="G559" s="38"/>
      <c r="H559" s="63"/>
      <c r="I559" s="38"/>
      <c r="J559"/>
    </row>
    <row r="560" spans="1:10" s="53" customFormat="1">
      <c r="A560" s="31"/>
      <c r="B560" s="2"/>
      <c r="D560"/>
      <c r="E560"/>
      <c r="F560"/>
      <c r="G560" s="38"/>
      <c r="H560" s="63"/>
      <c r="I560" s="38"/>
      <c r="J560"/>
    </row>
    <row r="561" spans="1:10" s="53" customFormat="1">
      <c r="A561" s="31"/>
      <c r="B561" s="2"/>
      <c r="D561"/>
      <c r="E561"/>
      <c r="F561"/>
      <c r="G561" s="38"/>
      <c r="H561" s="63"/>
      <c r="I561" s="38"/>
      <c r="J561"/>
    </row>
    <row r="562" spans="1:10" s="53" customFormat="1">
      <c r="A562" s="31"/>
      <c r="B562" s="2"/>
      <c r="D562"/>
      <c r="E562"/>
      <c r="F562"/>
      <c r="G562" s="38"/>
      <c r="H562" s="63"/>
      <c r="I562" s="38"/>
      <c r="J562"/>
    </row>
    <row r="563" spans="1:10" s="53" customFormat="1">
      <c r="A563" s="31"/>
      <c r="B563" s="2"/>
      <c r="D563"/>
      <c r="E563"/>
      <c r="F563"/>
      <c r="G563" s="38"/>
      <c r="H563" s="63"/>
      <c r="I563" s="38"/>
      <c r="J563"/>
    </row>
    <row r="564" spans="1:10" s="53" customFormat="1">
      <c r="A564" s="31"/>
      <c r="B564" s="2"/>
      <c r="D564"/>
      <c r="E564"/>
      <c r="F564"/>
      <c r="G564" s="38"/>
      <c r="H564" s="63"/>
      <c r="I564" s="38"/>
      <c r="J564"/>
    </row>
    <row r="565" spans="1:10" s="53" customFormat="1">
      <c r="A565" s="31"/>
      <c r="B565" s="2"/>
      <c r="D565"/>
      <c r="E565"/>
      <c r="F565"/>
      <c r="G565" s="38"/>
      <c r="H565" s="63"/>
      <c r="I565" s="38"/>
      <c r="J565"/>
    </row>
    <row r="566" spans="1:10" s="53" customFormat="1">
      <c r="A566" s="31"/>
      <c r="B566" s="2"/>
      <c r="D566"/>
      <c r="E566"/>
      <c r="F566"/>
      <c r="G566" s="38"/>
      <c r="H566" s="63"/>
      <c r="I566" s="38"/>
      <c r="J566"/>
    </row>
    <row r="567" spans="1:10" s="53" customFormat="1">
      <c r="A567" s="31"/>
      <c r="B567" s="2"/>
      <c r="D567"/>
      <c r="E567"/>
      <c r="F567"/>
      <c r="G567" s="38"/>
      <c r="H567" s="63"/>
      <c r="I567" s="38"/>
      <c r="J567"/>
    </row>
    <row r="568" spans="1:10" s="53" customFormat="1">
      <c r="A568" s="31"/>
      <c r="B568" s="2"/>
      <c r="D568"/>
      <c r="E568"/>
      <c r="F568"/>
      <c r="G568" s="38"/>
      <c r="H568" s="63"/>
      <c r="I568" s="38"/>
      <c r="J568"/>
    </row>
    <row r="569" spans="1:10" s="53" customFormat="1">
      <c r="A569" s="31"/>
      <c r="B569" s="2"/>
      <c r="D569"/>
      <c r="E569"/>
      <c r="F569"/>
      <c r="G569" s="38"/>
      <c r="H569" s="63"/>
      <c r="I569" s="38"/>
      <c r="J569"/>
    </row>
    <row r="570" spans="1:10" s="53" customFormat="1">
      <c r="A570" s="31"/>
      <c r="B570" s="2"/>
      <c r="D570"/>
      <c r="E570"/>
      <c r="F570"/>
      <c r="G570" s="38"/>
      <c r="H570" s="63"/>
      <c r="I570" s="38"/>
      <c r="J570"/>
    </row>
    <row r="571" spans="1:10" s="53" customFormat="1">
      <c r="A571" s="31"/>
      <c r="B571" s="2"/>
      <c r="D571"/>
      <c r="E571"/>
      <c r="F571"/>
      <c r="G571" s="38"/>
      <c r="H571" s="63"/>
      <c r="I571" s="38"/>
      <c r="J571"/>
    </row>
    <row r="572" spans="1:10" s="53" customFormat="1">
      <c r="A572" s="31"/>
      <c r="B572" s="2"/>
      <c r="D572"/>
      <c r="E572"/>
      <c r="F572"/>
      <c r="G572" s="38"/>
      <c r="H572" s="63"/>
      <c r="I572" s="38"/>
      <c r="J572"/>
    </row>
    <row r="573" spans="1:10" s="53" customFormat="1">
      <c r="A573" s="31"/>
      <c r="B573" s="2"/>
      <c r="D573"/>
      <c r="E573"/>
      <c r="F573"/>
      <c r="G573" s="38"/>
      <c r="H573" s="63"/>
      <c r="I573" s="38"/>
      <c r="J573"/>
    </row>
    <row r="574" spans="1:10" s="53" customFormat="1">
      <c r="A574" s="31"/>
      <c r="B574" s="2"/>
      <c r="D574"/>
      <c r="E574"/>
      <c r="F574"/>
      <c r="G574" s="38"/>
      <c r="H574" s="63"/>
      <c r="I574" s="38"/>
      <c r="J574"/>
    </row>
    <row r="575" spans="1:10" s="53" customFormat="1">
      <c r="A575" s="31"/>
      <c r="B575" s="2"/>
      <c r="D575"/>
      <c r="E575"/>
      <c r="F575"/>
      <c r="G575" s="38"/>
      <c r="H575" s="63"/>
      <c r="I575" s="38"/>
      <c r="J575"/>
    </row>
    <row r="576" spans="1:10" s="53" customFormat="1">
      <c r="A576" s="31"/>
      <c r="B576" s="2"/>
      <c r="D576"/>
      <c r="E576"/>
      <c r="F576"/>
      <c r="G576" s="38"/>
      <c r="H576" s="63"/>
      <c r="I576" s="38"/>
      <c r="J576"/>
    </row>
    <row r="577" spans="1:10" s="53" customFormat="1">
      <c r="A577" s="31"/>
      <c r="B577" s="2"/>
      <c r="D577"/>
      <c r="E577"/>
      <c r="F577"/>
      <c r="G577" s="38"/>
      <c r="H577" s="63"/>
      <c r="I577" s="38"/>
      <c r="J577"/>
    </row>
    <row r="578" spans="1:10" s="53" customFormat="1">
      <c r="A578" s="31"/>
      <c r="B578" s="2"/>
      <c r="D578"/>
      <c r="E578"/>
      <c r="F578"/>
      <c r="G578" s="38"/>
      <c r="H578" s="63"/>
      <c r="I578" s="38"/>
      <c r="J578"/>
    </row>
    <row r="579" spans="1:10" s="53" customFormat="1">
      <c r="A579" s="31"/>
      <c r="B579" s="2"/>
      <c r="D579"/>
      <c r="E579"/>
      <c r="F579"/>
      <c r="G579" s="38"/>
      <c r="H579" s="63"/>
      <c r="I579" s="38"/>
      <c r="J579"/>
    </row>
    <row r="580" spans="1:10" s="53" customFormat="1">
      <c r="A580" s="31"/>
      <c r="B580" s="2"/>
      <c r="D580"/>
      <c r="E580"/>
      <c r="F580"/>
      <c r="G580" s="38"/>
      <c r="H580" s="63"/>
      <c r="I580" s="38"/>
      <c r="J580"/>
    </row>
    <row r="581" spans="1:10" s="53" customFormat="1">
      <c r="A581" s="31"/>
      <c r="B581" s="2"/>
      <c r="D581"/>
      <c r="E581"/>
      <c r="F581"/>
      <c r="G581" s="38"/>
      <c r="H581" s="63"/>
      <c r="I581" s="38"/>
      <c r="J581"/>
    </row>
    <row r="582" spans="1:10" s="53" customFormat="1">
      <c r="A582" s="31"/>
      <c r="B582" s="2"/>
      <c r="D582"/>
      <c r="E582"/>
      <c r="F582"/>
      <c r="G582" s="38"/>
      <c r="H582" s="63"/>
      <c r="I582" s="38"/>
      <c r="J582"/>
    </row>
    <row r="583" spans="1:10" s="53" customFormat="1">
      <c r="A583" s="31"/>
      <c r="B583" s="2"/>
      <c r="D583"/>
      <c r="E583"/>
      <c r="F583"/>
      <c r="G583" s="38"/>
      <c r="H583" s="63"/>
      <c r="I583" s="38"/>
      <c r="J583"/>
    </row>
    <row r="584" spans="1:10" s="53" customFormat="1">
      <c r="A584" s="31"/>
      <c r="B584" s="2"/>
      <c r="D584"/>
      <c r="E584"/>
      <c r="F584"/>
      <c r="G584" s="38"/>
      <c r="H584" s="63"/>
      <c r="I584" s="38"/>
      <c r="J584"/>
    </row>
    <row r="585" spans="1:10" s="53" customFormat="1">
      <c r="A585" s="31"/>
      <c r="B585" s="2"/>
      <c r="D585"/>
      <c r="E585"/>
      <c r="F585"/>
      <c r="G585" s="38"/>
      <c r="H585" s="63"/>
      <c r="I585" s="38"/>
      <c r="J585"/>
    </row>
    <row r="586" spans="1:10" s="53" customFormat="1">
      <c r="A586" s="31"/>
      <c r="B586" s="2"/>
      <c r="D586"/>
      <c r="E586"/>
      <c r="F586"/>
      <c r="G586" s="38"/>
      <c r="H586" s="63"/>
      <c r="I586" s="38"/>
      <c r="J586"/>
    </row>
    <row r="587" spans="1:10" s="53" customFormat="1">
      <c r="A587" s="31"/>
      <c r="B587" s="2"/>
      <c r="D587"/>
      <c r="E587"/>
      <c r="F587"/>
      <c r="G587" s="38"/>
      <c r="H587" s="63"/>
      <c r="I587" s="38"/>
      <c r="J587"/>
    </row>
    <row r="588" spans="1:10" s="53" customFormat="1">
      <c r="A588" s="31"/>
      <c r="B588" s="2"/>
      <c r="D588"/>
      <c r="E588"/>
      <c r="F588"/>
      <c r="G588" s="38"/>
      <c r="H588" s="63"/>
      <c r="I588" s="38"/>
      <c r="J588"/>
    </row>
    <row r="589" spans="1:10" s="53" customFormat="1">
      <c r="A589" s="31"/>
      <c r="B589" s="2"/>
      <c r="D589"/>
      <c r="E589"/>
      <c r="F589"/>
      <c r="G589" s="38"/>
      <c r="H589" s="63"/>
      <c r="I589" s="38"/>
      <c r="J589"/>
    </row>
    <row r="590" spans="1:10" s="53" customFormat="1">
      <c r="A590" s="31"/>
      <c r="B590" s="2"/>
      <c r="D590"/>
      <c r="E590"/>
      <c r="F590"/>
      <c r="G590" s="38"/>
      <c r="H590" s="63"/>
      <c r="I590" s="38"/>
      <c r="J590"/>
    </row>
    <row r="591" spans="1:10" s="53" customFormat="1">
      <c r="A591" s="31"/>
      <c r="B591" s="2"/>
      <c r="D591"/>
      <c r="E591"/>
      <c r="F591"/>
      <c r="G591" s="38"/>
      <c r="H591" s="63"/>
      <c r="I591" s="38"/>
      <c r="J591"/>
    </row>
    <row r="592" spans="1:10" s="53" customFormat="1">
      <c r="A592" s="31"/>
      <c r="B592" s="2"/>
      <c r="D592"/>
      <c r="E592"/>
      <c r="F592"/>
      <c r="G592" s="38"/>
      <c r="H592" s="63"/>
      <c r="I592" s="38"/>
      <c r="J592"/>
    </row>
    <row r="593" spans="1:10" s="53" customFormat="1">
      <c r="A593" s="31"/>
      <c r="B593" s="2"/>
      <c r="D593"/>
      <c r="E593"/>
      <c r="F593"/>
      <c r="G593" s="38"/>
      <c r="H593" s="63"/>
      <c r="I593" s="38"/>
      <c r="J593"/>
    </row>
    <row r="594" spans="1:10" s="53" customFormat="1">
      <c r="A594" s="31"/>
      <c r="B594" s="2"/>
      <c r="D594"/>
      <c r="E594"/>
      <c r="F594"/>
      <c r="G594" s="38"/>
      <c r="H594" s="63"/>
      <c r="I594" s="38"/>
      <c r="J594"/>
    </row>
    <row r="595" spans="1:10" s="53" customFormat="1">
      <c r="A595" s="31"/>
      <c r="B595" s="2"/>
      <c r="D595"/>
      <c r="E595"/>
      <c r="F595"/>
      <c r="G595" s="38"/>
      <c r="H595" s="63"/>
      <c r="I595" s="38"/>
      <c r="J595"/>
    </row>
    <row r="596" spans="1:10" s="53" customFormat="1">
      <c r="A596" s="31"/>
      <c r="B596" s="2"/>
      <c r="D596"/>
      <c r="E596"/>
      <c r="F596"/>
      <c r="G596" s="38"/>
      <c r="H596" s="63"/>
      <c r="I596" s="38"/>
      <c r="J596"/>
    </row>
    <row r="597" spans="1:10" s="53" customFormat="1">
      <c r="A597" s="31"/>
      <c r="B597" s="2"/>
      <c r="D597"/>
      <c r="E597"/>
      <c r="F597"/>
      <c r="G597" s="38"/>
      <c r="H597" s="63"/>
      <c r="I597" s="38"/>
      <c r="J597"/>
    </row>
    <row r="598" spans="1:10" s="53" customFormat="1">
      <c r="A598" s="31"/>
      <c r="B598" s="2"/>
      <c r="D598"/>
      <c r="E598"/>
      <c r="F598"/>
      <c r="G598" s="38"/>
      <c r="H598" s="63"/>
      <c r="I598" s="38"/>
      <c r="J598"/>
    </row>
    <row r="599" spans="1:10" s="53" customFormat="1">
      <c r="A599" s="31"/>
      <c r="B599" s="2"/>
      <c r="D599"/>
      <c r="E599"/>
      <c r="F599"/>
      <c r="G599" s="38"/>
      <c r="H599" s="63"/>
      <c r="I599" s="38"/>
      <c r="J599"/>
    </row>
    <row r="600" spans="1:10" s="53" customFormat="1">
      <c r="A600" s="31"/>
      <c r="B600" s="2"/>
      <c r="D600"/>
      <c r="E600"/>
      <c r="F600"/>
      <c r="G600" s="38"/>
      <c r="H600" s="63"/>
      <c r="I600" s="38"/>
      <c r="J600"/>
    </row>
    <row r="601" spans="1:10" s="53" customFormat="1">
      <c r="A601" s="31"/>
      <c r="B601" s="2"/>
      <c r="D601"/>
      <c r="E601"/>
      <c r="F601"/>
      <c r="G601" s="38"/>
      <c r="H601" s="63"/>
      <c r="I601" s="38"/>
      <c r="J601"/>
    </row>
    <row r="602" spans="1:10" s="53" customFormat="1">
      <c r="A602" s="31"/>
      <c r="B602" s="2"/>
      <c r="D602"/>
      <c r="E602"/>
      <c r="F602"/>
      <c r="G602" s="38"/>
      <c r="H602" s="63"/>
      <c r="I602" s="38"/>
      <c r="J602"/>
    </row>
    <row r="603" spans="1:10" s="53" customFormat="1">
      <c r="A603" s="31"/>
      <c r="B603" s="2"/>
      <c r="D603"/>
      <c r="E603"/>
      <c r="F603"/>
      <c r="G603" s="38"/>
      <c r="H603" s="63"/>
      <c r="I603" s="38"/>
      <c r="J603"/>
    </row>
    <row r="604" spans="1:10" s="53" customFormat="1">
      <c r="A604" s="31"/>
      <c r="B604" s="2"/>
      <c r="D604"/>
      <c r="E604"/>
      <c r="F604"/>
      <c r="G604" s="38"/>
      <c r="H604" s="63"/>
      <c r="I604" s="38"/>
      <c r="J604"/>
    </row>
    <row r="605" spans="1:10" s="53" customFormat="1">
      <c r="A605" s="31"/>
      <c r="B605" s="2"/>
      <c r="D605"/>
      <c r="E605"/>
      <c r="F605"/>
      <c r="G605" s="38"/>
      <c r="H605" s="63"/>
      <c r="I605" s="38"/>
      <c r="J605"/>
    </row>
    <row r="606" spans="1:10" s="53" customFormat="1">
      <c r="A606" s="31"/>
      <c r="B606" s="2"/>
      <c r="D606"/>
      <c r="E606"/>
      <c r="F606"/>
      <c r="G606" s="38"/>
      <c r="H606" s="63"/>
      <c r="I606" s="38"/>
      <c r="J606"/>
    </row>
    <row r="607" spans="1:10" s="53" customFormat="1">
      <c r="A607" s="31"/>
      <c r="B607" s="2"/>
      <c r="D607"/>
      <c r="E607"/>
      <c r="F607"/>
      <c r="G607" s="38"/>
      <c r="H607" s="63"/>
      <c r="I607" s="38"/>
      <c r="J607"/>
    </row>
    <row r="608" spans="1:10" s="53" customFormat="1">
      <c r="A608" s="31"/>
      <c r="B608" s="2"/>
      <c r="D608"/>
      <c r="E608"/>
      <c r="F608"/>
      <c r="G608" s="38"/>
      <c r="H608" s="63"/>
      <c r="I608" s="38"/>
      <c r="J608"/>
    </row>
    <row r="609" spans="1:10" s="53" customFormat="1">
      <c r="A609" s="31"/>
      <c r="B609" s="2"/>
      <c r="D609"/>
      <c r="E609"/>
      <c r="F609"/>
      <c r="G609" s="38"/>
      <c r="H609" s="63"/>
      <c r="I609" s="38"/>
      <c r="J609"/>
    </row>
    <row r="610" spans="1:10" s="53" customFormat="1">
      <c r="A610" s="31"/>
      <c r="B610" s="2"/>
      <c r="D610"/>
      <c r="E610"/>
      <c r="F610"/>
      <c r="G610" s="38"/>
      <c r="H610" s="63"/>
      <c r="I610" s="38"/>
      <c r="J610"/>
    </row>
    <row r="611" spans="1:10" s="53" customFormat="1">
      <c r="A611" s="31"/>
      <c r="B611" s="2"/>
      <c r="D611"/>
      <c r="E611"/>
      <c r="F611"/>
      <c r="G611" s="38"/>
      <c r="H611" s="63"/>
      <c r="I611" s="38"/>
      <c r="J611"/>
    </row>
    <row r="612" spans="1:10" s="53" customFormat="1">
      <c r="A612" s="31"/>
      <c r="B612" s="2"/>
      <c r="D612"/>
      <c r="E612"/>
      <c r="F612"/>
      <c r="G612" s="38"/>
      <c r="H612" s="63"/>
      <c r="I612" s="38"/>
      <c r="J612"/>
    </row>
    <row r="613" spans="1:10" s="53" customFormat="1">
      <c r="A613" s="31"/>
      <c r="B613" s="2"/>
      <c r="D613"/>
      <c r="E613"/>
      <c r="F613"/>
      <c r="G613" s="38"/>
      <c r="H613" s="63"/>
      <c r="I613" s="38"/>
      <c r="J613"/>
    </row>
    <row r="614" spans="1:10" s="53" customFormat="1">
      <c r="A614" s="31"/>
      <c r="B614" s="2"/>
      <c r="D614"/>
      <c r="E614"/>
      <c r="F614"/>
      <c r="G614" s="38"/>
      <c r="H614" s="63"/>
      <c r="I614" s="38"/>
      <c r="J614"/>
    </row>
    <row r="615" spans="1:10" s="53" customFormat="1">
      <c r="A615" s="31"/>
      <c r="B615" s="2"/>
      <c r="D615"/>
      <c r="E615"/>
      <c r="F615"/>
      <c r="G615" s="38"/>
      <c r="H615" s="63"/>
      <c r="I615" s="38"/>
      <c r="J615"/>
    </row>
    <row r="616" spans="1:10" s="53" customFormat="1">
      <c r="A616" s="31"/>
      <c r="B616" s="2"/>
      <c r="D616"/>
      <c r="E616"/>
      <c r="F616"/>
      <c r="G616" s="38"/>
      <c r="H616" s="63"/>
      <c r="I616" s="38"/>
      <c r="J616"/>
    </row>
    <row r="617" spans="1:10" s="53" customFormat="1">
      <c r="A617" s="31"/>
      <c r="B617" s="2"/>
      <c r="D617"/>
      <c r="E617"/>
      <c r="F617"/>
      <c r="G617" s="38"/>
      <c r="H617" s="63"/>
      <c r="I617" s="38"/>
      <c r="J617"/>
    </row>
    <row r="618" spans="1:10" s="53" customFormat="1">
      <c r="A618" s="31"/>
      <c r="B618" s="2"/>
      <c r="D618"/>
      <c r="E618"/>
      <c r="F618"/>
      <c r="G618" s="38"/>
      <c r="H618" s="63"/>
      <c r="I618" s="38"/>
      <c r="J618"/>
    </row>
    <row r="619" spans="1:10" s="53" customFormat="1">
      <c r="A619" s="31"/>
      <c r="B619" s="2"/>
      <c r="D619"/>
      <c r="E619"/>
      <c r="F619"/>
      <c r="G619" s="38"/>
      <c r="H619" s="63"/>
      <c r="I619" s="38"/>
      <c r="J619"/>
    </row>
    <row r="620" spans="1:10" s="53" customFormat="1">
      <c r="A620" s="31"/>
      <c r="B620" s="2"/>
      <c r="D620"/>
      <c r="E620"/>
      <c r="F620"/>
      <c r="G620" s="38"/>
      <c r="H620" s="63"/>
      <c r="I620" s="38"/>
      <c r="J620"/>
    </row>
    <row r="621" spans="1:10" s="53" customFormat="1">
      <c r="A621" s="31"/>
      <c r="B621" s="2"/>
      <c r="D621"/>
      <c r="E621"/>
      <c r="F621"/>
      <c r="G621" s="38"/>
      <c r="H621" s="63"/>
      <c r="I621" s="38"/>
      <c r="J621"/>
    </row>
    <row r="622" spans="1:10" s="53" customFormat="1">
      <c r="A622" s="31"/>
      <c r="B622" s="2"/>
      <c r="D622"/>
      <c r="E622"/>
      <c r="F622"/>
      <c r="G622" s="38"/>
      <c r="H622" s="63"/>
      <c r="I622" s="38"/>
      <c r="J622"/>
    </row>
    <row r="623" spans="1:10" s="53" customFormat="1">
      <c r="A623" s="31"/>
      <c r="B623" s="2"/>
      <c r="D623"/>
      <c r="E623"/>
      <c r="F623"/>
      <c r="G623" s="38"/>
      <c r="H623" s="63"/>
      <c r="I623" s="38"/>
      <c r="J623"/>
    </row>
    <row r="624" spans="1:10" s="53" customFormat="1">
      <c r="A624" s="31"/>
      <c r="B624" s="2"/>
      <c r="D624"/>
      <c r="E624"/>
      <c r="F624"/>
      <c r="G624" s="38"/>
      <c r="H624" s="63"/>
      <c r="I624" s="38"/>
      <c r="J624"/>
    </row>
    <row r="625" spans="1:10" s="53" customFormat="1">
      <c r="A625" s="31"/>
      <c r="B625" s="2"/>
      <c r="D625"/>
      <c r="E625"/>
      <c r="F625"/>
      <c r="G625" s="38"/>
      <c r="H625" s="63"/>
      <c r="I625" s="38"/>
      <c r="J625"/>
    </row>
    <row r="626" spans="1:10" s="53" customFormat="1">
      <c r="A626" s="31"/>
      <c r="B626" s="2"/>
      <c r="D626"/>
      <c r="E626"/>
      <c r="F626"/>
      <c r="G626" s="38"/>
      <c r="H626" s="63"/>
      <c r="I626" s="38"/>
      <c r="J626"/>
    </row>
    <row r="627" spans="1:10" s="53" customFormat="1">
      <c r="A627" s="31"/>
      <c r="B627" s="2"/>
      <c r="D627"/>
      <c r="E627"/>
      <c r="F627"/>
      <c r="G627" s="38"/>
      <c r="H627" s="63"/>
      <c r="I627" s="38"/>
      <c r="J627"/>
    </row>
    <row r="628" spans="1:10" s="53" customFormat="1">
      <c r="A628" s="31"/>
      <c r="B628" s="2"/>
      <c r="D628"/>
      <c r="E628"/>
      <c r="F628"/>
      <c r="G628" s="38"/>
      <c r="H628" s="63"/>
      <c r="I628" s="38"/>
      <c r="J628"/>
    </row>
    <row r="629" spans="1:10" s="53" customFormat="1">
      <c r="A629" s="31"/>
      <c r="B629" s="2"/>
      <c r="D629"/>
      <c r="E629"/>
      <c r="F629"/>
      <c r="G629" s="38"/>
      <c r="H629" s="63"/>
      <c r="I629" s="38"/>
      <c r="J629"/>
    </row>
    <row r="630" spans="1:10" s="53" customFormat="1">
      <c r="A630" s="31"/>
      <c r="B630" s="2"/>
      <c r="D630"/>
      <c r="E630"/>
      <c r="F630"/>
      <c r="G630" s="38"/>
      <c r="H630" s="63"/>
      <c r="I630" s="38"/>
      <c r="J630"/>
    </row>
    <row r="631" spans="1:10" s="31" customFormat="1">
      <c r="B631" s="2"/>
      <c r="C631" s="53"/>
      <c r="D631"/>
      <c r="E631"/>
      <c r="F631"/>
      <c r="G631" s="38"/>
      <c r="H631" s="63"/>
      <c r="I631" s="38"/>
      <c r="J631"/>
    </row>
    <row r="632" spans="1:10" s="31" customFormat="1">
      <c r="B632" s="2"/>
      <c r="C632" s="53"/>
      <c r="D632"/>
      <c r="E632"/>
      <c r="F632"/>
      <c r="G632" s="38"/>
      <c r="H632" s="63"/>
      <c r="I632" s="38"/>
      <c r="J632"/>
    </row>
    <row r="633" spans="1:10" s="31" customFormat="1">
      <c r="B633" s="2"/>
      <c r="C633" s="53"/>
      <c r="D633"/>
      <c r="E633"/>
      <c r="F633"/>
      <c r="G633" s="38"/>
      <c r="H633" s="63"/>
      <c r="I633" s="38"/>
      <c r="J633"/>
    </row>
    <row r="634" spans="1:10" s="31" customFormat="1">
      <c r="B634" s="2"/>
      <c r="C634" s="53"/>
      <c r="D634"/>
      <c r="E634"/>
      <c r="F634"/>
      <c r="G634" s="38"/>
      <c r="H634" s="63"/>
      <c r="I634" s="38"/>
      <c r="J634"/>
    </row>
  </sheetData>
  <sheetProtection algorithmName="SHA-512" hashValue="Zp7d792/JFtEM0rQnPjjN2NRgF9LLCvFCKJvn59bxAC1C+072baZNfjliRetE3XQCbX6O97gnZ7HT/MVauqNfQ==" saltValue="tbFY1Np2ms3l16NOxsAxPA==" spinCount="100000" sheet="1" objects="1" scenarios="1"/>
  <autoFilter ref="A1:S634" xr:uid="{00000000-0009-0000-0000-000008000000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2</vt:i4>
      </vt:variant>
    </vt:vector>
  </HeadingPairs>
  <TitlesOfParts>
    <vt:vector size="12" baseType="lpstr">
      <vt:lpstr>Mão de Obra</vt:lpstr>
      <vt:lpstr>Produtividade</vt:lpstr>
      <vt:lpstr>Veículos</vt:lpstr>
      <vt:lpstr>Mat Individual e Uniformes func</vt:lpstr>
      <vt:lpstr>Mat Coletivo e Equipamentos</vt:lpstr>
      <vt:lpstr>Resumo</vt:lpstr>
      <vt:lpstr>Apoio - Regime de Trabalho</vt:lpstr>
      <vt:lpstr>Apoio - Notas Explicativas</vt:lpstr>
      <vt:lpstr>Apoio - Posto</vt:lpstr>
      <vt:lpstr>Apoio - Dados</vt:lpstr>
      <vt:lpstr>'Mão de Obra'!Area_de_impressao</vt:lpstr>
      <vt:lpstr>Produtividade!Area_de_impressao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Machry</dc:creator>
  <cp:lastModifiedBy>Tainan Ely Clarino</cp:lastModifiedBy>
  <cp:lastPrinted>2023-11-16T17:30:01Z</cp:lastPrinted>
  <dcterms:created xsi:type="dcterms:W3CDTF">2015-06-05T18:19:34Z</dcterms:created>
  <dcterms:modified xsi:type="dcterms:W3CDTF">2024-06-14T20:53:08Z</dcterms:modified>
</cp:coreProperties>
</file>