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lter.aczel\Downloads\"/>
    </mc:Choice>
  </mc:AlternateContent>
  <bookViews>
    <workbookView xWindow="-105" yWindow="-105" windowWidth="23250" windowHeight="12450" tabRatio="715"/>
  </bookViews>
  <sheets>
    <sheet name="RESUMO" sheetId="4" r:id="rId1"/>
    <sheet name="PROPOSTA" sheetId="1" r:id="rId2"/>
    <sheet name="UNIFORMES, MATERIAIS E EPIs" sheetId="3" r:id="rId3"/>
  </sheets>
  <externalReferences>
    <externalReference r:id="rId4"/>
    <externalReference r:id="rId5"/>
  </externalReferences>
  <definedNames>
    <definedName name="familias_equipamentos">'[1]Base Apoio - etapa 1'!#REF!</definedName>
    <definedName name="materiais">[1]Fontes!$F$3:$F$9</definedName>
    <definedName name="percentuais">[1]Fontes!$C$1:$C$3</definedName>
    <definedName name="Sim_não">[1]Fontes!$A$1:$A$2</definedName>
    <definedName name="tributaçao">'[1]Base Apoio - etapa 1'!$F$20:$H$20</definedName>
    <definedName name="Tributação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4" l="1"/>
  <c r="E17" i="4"/>
  <c r="D118" i="1" l="1"/>
  <c r="D115" i="1"/>
  <c r="F177" i="1" l="1"/>
  <c r="E177" i="1"/>
  <c r="F29" i="1"/>
  <c r="E29" i="1"/>
  <c r="E19" i="4"/>
  <c r="D19" i="4"/>
  <c r="C18" i="4"/>
  <c r="B18" i="4"/>
  <c r="C17" i="4"/>
  <c r="B17" i="4"/>
  <c r="I7" i="4"/>
  <c r="I6" i="4"/>
  <c r="B3" i="4"/>
  <c r="H11" i="3"/>
  <c r="G11" i="3"/>
  <c r="H3" i="3"/>
  <c r="G3" i="3"/>
  <c r="F182" i="1"/>
  <c r="F183" i="1" s="1"/>
  <c r="E182" i="1"/>
  <c r="E183" i="1" s="1"/>
  <c r="F160" i="1"/>
  <c r="E160" i="1"/>
  <c r="F147" i="1"/>
  <c r="E147" i="1"/>
  <c r="F139" i="1"/>
  <c r="F140" i="1" s="1"/>
  <c r="E139" i="1"/>
  <c r="E140" i="1" s="1"/>
  <c r="D132" i="1"/>
  <c r="D129" i="1"/>
  <c r="D128" i="1"/>
  <c r="D127" i="1"/>
  <c r="D126" i="1"/>
  <c r="F108" i="1"/>
  <c r="E108" i="1"/>
  <c r="F104" i="1"/>
  <c r="E104" i="1"/>
  <c r="D104" i="1"/>
  <c r="F103" i="1"/>
  <c r="E103" i="1"/>
  <c r="E98" i="1"/>
  <c r="F97" i="1"/>
  <c r="E97" i="1"/>
  <c r="F91" i="1"/>
  <c r="F93" i="1" s="1"/>
  <c r="E91" i="1"/>
  <c r="E93" i="1" s="1"/>
  <c r="F87" i="1"/>
  <c r="E87" i="1"/>
  <c r="F86" i="1"/>
  <c r="E86" i="1"/>
  <c r="F85" i="1"/>
  <c r="E85" i="1"/>
  <c r="F84" i="1"/>
  <c r="E84" i="1"/>
  <c r="D78" i="1"/>
  <c r="D69" i="1"/>
  <c r="D65" i="1"/>
  <c r="D64" i="1"/>
  <c r="D63" i="1"/>
  <c r="G65" i="1" s="1"/>
  <c r="F56" i="1"/>
  <c r="F54" i="1" s="1"/>
  <c r="E56" i="1"/>
  <c r="E54" i="1" s="1"/>
  <c r="F49" i="1"/>
  <c r="F48" i="1"/>
  <c r="F41" i="1"/>
  <c r="F45" i="1" s="1"/>
  <c r="E41" i="1"/>
  <c r="E45" i="1" s="1"/>
  <c r="E36" i="1"/>
  <c r="F34" i="1"/>
  <c r="F36" i="1" s="1"/>
  <c r="F31" i="1"/>
  <c r="E31" i="1"/>
  <c r="E25" i="1"/>
  <c r="E26" i="1" s="1"/>
  <c r="E21" i="1"/>
  <c r="E20" i="1"/>
  <c r="E19" i="1"/>
  <c r="E32" i="1" l="1"/>
  <c r="E46" i="1" s="1"/>
  <c r="G79" i="1"/>
  <c r="F32" i="1"/>
  <c r="E185" i="1"/>
  <c r="F185" i="1"/>
  <c r="E39" i="1"/>
  <c r="C75" i="1"/>
  <c r="F39" i="1"/>
  <c r="E88" i="1"/>
  <c r="E109" i="1" s="1"/>
  <c r="F88" i="1"/>
  <c r="D131" i="1"/>
  <c r="G129" i="1" s="1"/>
  <c r="F46" i="1"/>
  <c r="F109" i="1"/>
  <c r="E42" i="1"/>
  <c r="E43" i="1" s="1"/>
  <c r="F42" i="1"/>
  <c r="F43" i="1" s="1"/>
  <c r="G136" i="1" l="1"/>
  <c r="E52" i="1"/>
  <c r="E50" i="1"/>
  <c r="E53" i="1" s="1"/>
  <c r="F52" i="1"/>
  <c r="F50" i="1"/>
  <c r="F132" i="1"/>
  <c r="E132" i="1"/>
  <c r="F53" i="1" l="1"/>
  <c r="F55" i="1" s="1"/>
  <c r="F58" i="1" s="1"/>
  <c r="E55" i="1"/>
  <c r="E58" i="1" s="1"/>
  <c r="E74" i="1" l="1"/>
  <c r="E117" i="1"/>
  <c r="E73" i="1"/>
  <c r="E116" i="1"/>
  <c r="E79" i="1"/>
  <c r="E72" i="1"/>
  <c r="E119" i="1"/>
  <c r="E118" i="1"/>
  <c r="E125" i="1"/>
  <c r="E115" i="1"/>
  <c r="E71" i="1"/>
  <c r="E114" i="1"/>
  <c r="E70" i="1"/>
  <c r="E63" i="1"/>
  <c r="E64" i="1"/>
  <c r="E130" i="1" s="1"/>
  <c r="E78" i="1"/>
  <c r="E129" i="1"/>
  <c r="E65" i="1"/>
  <c r="E69" i="1"/>
  <c r="F116" i="1"/>
  <c r="F79" i="1"/>
  <c r="F72" i="1"/>
  <c r="F125" i="1"/>
  <c r="F64" i="1"/>
  <c r="F130" i="1" s="1"/>
  <c r="F65" i="1"/>
  <c r="F115" i="1"/>
  <c r="F71" i="1"/>
  <c r="F114" i="1"/>
  <c r="F70" i="1"/>
  <c r="F119" i="1"/>
  <c r="F118" i="1"/>
  <c r="F74" i="1"/>
  <c r="F117" i="1"/>
  <c r="F73" i="1"/>
  <c r="F69" i="1"/>
  <c r="F78" i="1"/>
  <c r="F63" i="1"/>
  <c r="F127" i="1" l="1"/>
  <c r="F126" i="1"/>
  <c r="F129" i="1"/>
  <c r="E66" i="1"/>
  <c r="F120" i="1"/>
  <c r="E128" i="1"/>
  <c r="E120" i="1"/>
  <c r="E80" i="1"/>
  <c r="E111" i="1" s="1"/>
  <c r="F128" i="1"/>
  <c r="F66" i="1"/>
  <c r="E127" i="1"/>
  <c r="E131" i="1" s="1"/>
  <c r="F80" i="1"/>
  <c r="E126" i="1"/>
  <c r="E133" i="1" l="1"/>
  <c r="E134" i="1" s="1"/>
  <c r="E176" i="1" s="1"/>
  <c r="F133" i="1"/>
  <c r="F131" i="1"/>
  <c r="F111" i="1"/>
  <c r="F134" i="1" l="1"/>
  <c r="F176" i="1" s="1"/>
  <c r="E142" i="1"/>
  <c r="E152" i="1" s="1"/>
  <c r="F142" i="1" l="1"/>
  <c r="F152" i="1" s="1"/>
  <c r="H152" i="1" s="1"/>
  <c r="F184" i="1"/>
  <c r="E184" i="1"/>
  <c r="E153" i="1"/>
  <c r="G153" i="1" s="1"/>
  <c r="G152" i="1"/>
  <c r="F153" i="1" l="1"/>
  <c r="E154" i="1"/>
  <c r="F154" i="1" l="1"/>
  <c r="F162" i="1" s="1"/>
  <c r="H153" i="1"/>
  <c r="E158" i="1"/>
  <c r="E161" i="1"/>
  <c r="E162" i="1"/>
  <c r="E157" i="1"/>
  <c r="G157" i="1" s="1"/>
  <c r="F161" i="1" l="1"/>
  <c r="F158" i="1"/>
  <c r="F157" i="1"/>
  <c r="H157" i="1" s="1"/>
  <c r="E163" i="1"/>
  <c r="E165" i="1" s="1"/>
  <c r="E172" i="1" s="1"/>
  <c r="G172" i="1" s="1"/>
  <c r="F163" i="1" l="1"/>
  <c r="F165" i="1" s="1"/>
  <c r="F173" i="1" s="1"/>
  <c r="E173" i="1"/>
  <c r="E178" i="1"/>
  <c r="F178" i="1" l="1"/>
  <c r="F179" i="1" s="1"/>
  <c r="F187" i="1" s="1"/>
  <c r="F172" i="1"/>
  <c r="H18" i="4" s="1"/>
  <c r="I18" i="4" s="1"/>
  <c r="J18" i="4" s="1"/>
  <c r="E186" i="1"/>
  <c r="E179" i="1"/>
  <c r="E187" i="1" s="1"/>
  <c r="H17" i="4"/>
  <c r="E170" i="1"/>
  <c r="F17" i="4" s="1"/>
  <c r="E171" i="1"/>
  <c r="G17" i="4" s="1"/>
  <c r="F171" i="1" l="1"/>
  <c r="G18" i="4" s="1"/>
  <c r="F186" i="1"/>
  <c r="F170" i="1"/>
  <c r="F18" i="4" s="1"/>
  <c r="G173" i="1"/>
  <c r="I17" i="4"/>
  <c r="J17" i="4" s="1"/>
  <c r="J19" i="4" s="1"/>
  <c r="I19" i="4" l="1"/>
</calcChain>
</file>

<file path=xl/sharedStrings.xml><?xml version="1.0" encoding="utf-8"?>
<sst xmlns="http://schemas.openxmlformats.org/spreadsheetml/2006/main" count="318" uniqueCount="214">
  <si>
    <t>A</t>
  </si>
  <si>
    <t>Órgão Demandante</t>
  </si>
  <si>
    <t>SECRETARIA DE ADMINISTRAÇÃO E PATRIMÔNIO</t>
  </si>
  <si>
    <t>B</t>
  </si>
  <si>
    <t xml:space="preserve">Pregão Eletrônico nº: </t>
  </si>
  <si>
    <t>C</t>
  </si>
  <si>
    <t>Processo SEI nº:</t>
  </si>
  <si>
    <t>24.0.000059905-7</t>
  </si>
  <si>
    <t>D</t>
  </si>
  <si>
    <t>Objeto:</t>
  </si>
  <si>
    <t>Contratação de empresa para prestação de serviços de disponibilização de mão de obra - Carregadores (CBO 7832-10)</t>
  </si>
  <si>
    <t>E</t>
  </si>
  <si>
    <t>Responsável</t>
  </si>
  <si>
    <t>F</t>
  </si>
  <si>
    <t>Data de conclusão</t>
  </si>
  <si>
    <t>G</t>
  </si>
  <si>
    <t>Pagamento do Contrato:</t>
  </si>
  <si>
    <t>Mês</t>
  </si>
  <si>
    <t>H</t>
  </si>
  <si>
    <t>Duração do Contrato em meses:</t>
  </si>
  <si>
    <t>I</t>
  </si>
  <si>
    <t>Regime Tributário</t>
  </si>
  <si>
    <t>Lucro Presumido</t>
  </si>
  <si>
    <t>J</t>
  </si>
  <si>
    <t>Receita Bruta</t>
  </si>
  <si>
    <t>K</t>
  </si>
  <si>
    <t>Salário Mínimo</t>
  </si>
  <si>
    <t>DADOS REFERENTES À CONTRATAÇÃO</t>
  </si>
  <si>
    <t>Posto A</t>
  </si>
  <si>
    <t>Posto B</t>
  </si>
  <si>
    <t>Função do Posto</t>
  </si>
  <si>
    <t>Carregador (Armazém)</t>
  </si>
  <si>
    <t>Carregador (Armazém) sábado e domingo</t>
  </si>
  <si>
    <t>Classificação Brasileira de Ocupações (CBO)</t>
  </si>
  <si>
    <t>7832-10</t>
  </si>
  <si>
    <t xml:space="preserve">Valor do Piso normativo da Categoria </t>
  </si>
  <si>
    <t>Regime de trabalho da convenção coletiva (mensal)</t>
  </si>
  <si>
    <t xml:space="preserve">Sindicato representativo da categoria profissional </t>
  </si>
  <si>
    <t>Data base da categoria</t>
  </si>
  <si>
    <t xml:space="preserve">Registro no MTE </t>
  </si>
  <si>
    <t>Local de trabalho</t>
  </si>
  <si>
    <t>Regime de trabalho do Contrato (semanal)</t>
  </si>
  <si>
    <t>40h (5 dia/sem)</t>
  </si>
  <si>
    <t>16h (2 dia/sem)</t>
  </si>
  <si>
    <t>Quantidade de postos/diárias</t>
  </si>
  <si>
    <t>Quantidade de profissional por posto</t>
  </si>
  <si>
    <t>L</t>
  </si>
  <si>
    <t xml:space="preserve">Quantidade total de profissionais/diárias </t>
  </si>
  <si>
    <t>MÓDULO 1: COMPOSIÇÃO DA REMUNERAÇÃO</t>
  </si>
  <si>
    <t>Salário-Base</t>
  </si>
  <si>
    <t>Adicional de Periculosidade</t>
  </si>
  <si>
    <t>Incidência</t>
  </si>
  <si>
    <t>Valor (R$)</t>
  </si>
  <si>
    <t>Adicional de Insalubridade</t>
  </si>
  <si>
    <t>Base de incindência</t>
  </si>
  <si>
    <t>Percentual de incidência</t>
  </si>
  <si>
    <t>Gratificação de Função</t>
  </si>
  <si>
    <t>Adicional Noturno</t>
  </si>
  <si>
    <t>Número de horas noturnas por dia</t>
  </si>
  <si>
    <t>Número de dias laborados a noite</t>
  </si>
  <si>
    <t>Adicional de Hora Noturna Reduzida</t>
  </si>
  <si>
    <t xml:space="preserve">Quantidade de horas noturnas reduzidas por mês  </t>
  </si>
  <si>
    <t>Horas Extras (com adicionais)</t>
  </si>
  <si>
    <t xml:space="preserve">Quantidade de Horas Extras mensal  </t>
  </si>
  <si>
    <t>Descanso Semanal Remunerado</t>
  </si>
  <si>
    <t xml:space="preserve">Sobre Adicional Noturno e Hora Noturna Reduzida </t>
  </si>
  <si>
    <t xml:space="preserve">Sobre Horas Extras  </t>
  </si>
  <si>
    <t>Sim</t>
  </si>
  <si>
    <t>Sobre Adicional de Troca de Uniforme</t>
  </si>
  <si>
    <t>Adicional de Troca de Uniforme</t>
  </si>
  <si>
    <t>Outras remunerações  (especificar)</t>
  </si>
  <si>
    <t>TOTAL MÓDULO 1</t>
  </si>
  <si>
    <t>MÓDULO 2 - ENCARGOS E BENEFÍCIOS ANUAIS, MENSAIS E DIÁRIOS</t>
  </si>
  <si>
    <t>SUBMÓDULO 2.1 - 13º Salário, Férias e Adicional de Férias</t>
  </si>
  <si>
    <t>13º salário</t>
  </si>
  <si>
    <t xml:space="preserve">Férias e Adicional de Férias </t>
  </si>
  <si>
    <t>Incidência no Submódulo 2.2 sobre 13º salário e Férias</t>
  </si>
  <si>
    <t>TOTAL SUBMÓDULO 2.1</t>
  </si>
  <si>
    <t>SUBMÓDULO  2.2 - Encargos Previdenciários e FGTS e Outras Contribuições</t>
  </si>
  <si>
    <t>INSS</t>
  </si>
  <si>
    <t>SESI OU SESC</t>
  </si>
  <si>
    <t>SENAI OU SENAC</t>
  </si>
  <si>
    <t>INCRA</t>
  </si>
  <si>
    <t>Salário educação</t>
  </si>
  <si>
    <t>FGTS</t>
  </si>
  <si>
    <t>RAT</t>
  </si>
  <si>
    <t>FAP</t>
  </si>
  <si>
    <t>SEBRAE</t>
  </si>
  <si>
    <t>TOTAL SUBMÓDULO 2.2</t>
  </si>
  <si>
    <t>SUBMÓDULO 2.3 - Encargos e Benefícios Anuais, Mensais e Diários</t>
  </si>
  <si>
    <t xml:space="preserve">Auxílio Transporte                                                   </t>
  </si>
  <si>
    <t>Valor da passagem do transporte coletivo</t>
  </si>
  <si>
    <t>Quantidade de passagens por dia</t>
  </si>
  <si>
    <t>Quantidade de dias do mês de recebimento</t>
  </si>
  <si>
    <t xml:space="preserve">Participação do empregado no custo  </t>
  </si>
  <si>
    <t xml:space="preserve">Auxílio-Refeição/Alimentação   </t>
  </si>
  <si>
    <t xml:space="preserve">Valor do Auxílio-Alimentação   </t>
  </si>
  <si>
    <t>Quantidade de vales recebidos por funcionário</t>
  </si>
  <si>
    <t>Participação do empregado no custo (%)</t>
  </si>
  <si>
    <t xml:space="preserve">Assistência Médica e Familiar </t>
  </si>
  <si>
    <t xml:space="preserve">Valor previsto em CCT/ACT  </t>
  </si>
  <si>
    <t xml:space="preserve">Seguro de vida em grupo  </t>
  </si>
  <si>
    <t xml:space="preserve">Auxílio-Funeral    </t>
  </si>
  <si>
    <t xml:space="preserve">Cesta Básica  </t>
  </si>
  <si>
    <t>Participação do empregado no custo</t>
  </si>
  <si>
    <t xml:space="preserve">Plano de Benefício Social Familiar </t>
  </si>
  <si>
    <t>Outros (especificar)</t>
  </si>
  <si>
    <t>Valor do benefício</t>
  </si>
  <si>
    <t>TOTAL SUBMÓDULO 2.3</t>
  </si>
  <si>
    <t>TOTAL MÓDULO 2</t>
  </si>
  <si>
    <t>MÓDULO 3 - PROVISÃO PARA RESCISÃO</t>
  </si>
  <si>
    <t>Aviso prévio indenizado</t>
  </si>
  <si>
    <t xml:space="preserve">Incidência do FGTS sobre Aviso Prévio indenizado </t>
  </si>
  <si>
    <t xml:space="preserve">Incidência da Multa e CS s/ FGTS incidente no API </t>
  </si>
  <si>
    <t xml:space="preserve">Aviso prévio trabalhado  </t>
  </si>
  <si>
    <t xml:space="preserve">Incidência dos encargos do submódulo 2.2 sobre item D  </t>
  </si>
  <si>
    <t xml:space="preserve">Multa sobre FGTS e contribuições sociais incidentes </t>
  </si>
  <si>
    <t>TOTAL MÓDULO 3</t>
  </si>
  <si>
    <t>MÓDULO 4 - CUSTO DE REPOSIÇÃO DO PROFISSIONAL AUSENTE</t>
  </si>
  <si>
    <t>SUBMÓDULO 4.1 - Substituto nas Ausências Legais
 BCCPA: Base de cálculo para o custo do profissional ausente</t>
  </si>
  <si>
    <t xml:space="preserve">Substituto na cobertura de férias  </t>
  </si>
  <si>
    <t xml:space="preserve">Substituto na cobertura das ausências por doença </t>
  </si>
  <si>
    <t xml:space="preserve">Substituto na cobertura de licença paternidade </t>
  </si>
  <si>
    <t xml:space="preserve">Substituto na cobertura das ausências legais </t>
  </si>
  <si>
    <t xml:space="preserve">Substituto na cobertura nas ausências por acidente de trabalho </t>
  </si>
  <si>
    <t xml:space="preserve">Substituto na cobertura de afastamento maternidade </t>
  </si>
  <si>
    <t>Incidência dos encargos do submódulo 2.2</t>
  </si>
  <si>
    <t>Inclusão benefícios Mensais e Diários</t>
  </si>
  <si>
    <t xml:space="preserve">Inclusão custo M3 (Provisão para Rescisão) para substitutos  </t>
  </si>
  <si>
    <t>TOTAL SUBMÓDULO 4.1</t>
  </si>
  <si>
    <t>SUBMÓDULO 4.2 - Intervalo intrajornada</t>
  </si>
  <si>
    <t>Intervalo Intrajornada</t>
  </si>
  <si>
    <t>Forma de substituição intrajornada</t>
  </si>
  <si>
    <t>Não</t>
  </si>
  <si>
    <t>TOTAL SUBMÓDULO 4.2</t>
  </si>
  <si>
    <t>TOTAL MÓDULO 4</t>
  </si>
  <si>
    <t>MÓDULO 5 - UNIFORMES, MATERIAIS, EQUIPAMENTOS E VEÍCULOS</t>
  </si>
  <si>
    <t>Material Individual e Uniformes</t>
  </si>
  <si>
    <t>Material Coletivo e Equipamentos</t>
  </si>
  <si>
    <t>TOTAL MÓDULO 5</t>
  </si>
  <si>
    <t>MÓDULO 6 - CUSTOS INDIRETOS</t>
  </si>
  <si>
    <t>SUBMÓDULO 6.1 - Custos administrativos e lucros</t>
  </si>
  <si>
    <t>Custos administrativos</t>
  </si>
  <si>
    <t>Lucros</t>
  </si>
  <si>
    <t>TOTAL SUBMÓDULO 6.1</t>
  </si>
  <si>
    <t>SUBMÓDULO 6.2 - Tributos</t>
  </si>
  <si>
    <t>COFINS</t>
  </si>
  <si>
    <t>PIS/PASEP</t>
  </si>
  <si>
    <t>ISSQN</t>
  </si>
  <si>
    <t>Alíquota</t>
  </si>
  <si>
    <t>Outros</t>
  </si>
  <si>
    <t>TOTAL SUBMÓDULO 6.2</t>
  </si>
  <si>
    <t>TOTAL MÓDULO 6</t>
  </si>
  <si>
    <t>QUADRO 1 - RESUMO DO CUSTO</t>
  </si>
  <si>
    <t>1.A - Custos unitários</t>
  </si>
  <si>
    <t>Custo por hora</t>
  </si>
  <si>
    <t>Custo por dia</t>
  </si>
  <si>
    <t>Custo mensal do profissional</t>
  </si>
  <si>
    <t>Custo mensal do posto</t>
  </si>
  <si>
    <t>1.B - Total do tipo de posto (posto X quantidade)</t>
  </si>
  <si>
    <t>Custos com remuneração, encargos e benefícios</t>
  </si>
  <si>
    <t>Custos com uniformes, materiais e equipamentos</t>
  </si>
  <si>
    <t>Custos Indiretos</t>
  </si>
  <si>
    <t>Custos por tipo de posto</t>
  </si>
  <si>
    <t>1.C - Total Contratual</t>
  </si>
  <si>
    <t>Custos por posto</t>
  </si>
  <si>
    <t>UNIFORMES, MATERIAIS DE USO INDIVIDUAL, CURSOS E TREINAMENTOS</t>
  </si>
  <si>
    <t>QUANTIDADE CONTRATUAL POR PROFISSIONAL</t>
  </si>
  <si>
    <t>Nº</t>
  </si>
  <si>
    <t>Material</t>
  </si>
  <si>
    <t>Und Medida</t>
  </si>
  <si>
    <t xml:space="preserve">Luvas de segurança </t>
  </si>
  <si>
    <t>par</t>
  </si>
  <si>
    <t>Bota tipo coturno</t>
  </si>
  <si>
    <t>Capacete de proteção</t>
  </si>
  <si>
    <t>unidade</t>
  </si>
  <si>
    <t>Óculos de segurança</t>
  </si>
  <si>
    <t xml:space="preserve">Protetor lombar </t>
  </si>
  <si>
    <t>TOTAL CONTRATUAL</t>
  </si>
  <si>
    <t>PREFEITURA MUNICIPAL DE PORTO ALEGRE</t>
  </si>
  <si>
    <t>PLANILHA DE CUSTOS E FORMAÇÃO DE PREÇOS</t>
  </si>
  <si>
    <t>Tempo de Duração do Contrato:</t>
  </si>
  <si>
    <t>Processo SEI Nº:</t>
  </si>
  <si>
    <t>Forma de Pagamento do Contrato:</t>
  </si>
  <si>
    <t xml:space="preserve">Nome da Empresa: </t>
  </si>
  <si>
    <t>Regime Tributário:</t>
  </si>
  <si>
    <t xml:space="preserve">CNPJ Matriz: </t>
  </si>
  <si>
    <t>Receita Bruta Anual:</t>
  </si>
  <si>
    <t>Endereço da Empresa:</t>
  </si>
  <si>
    <t>Telefone:</t>
  </si>
  <si>
    <t>Nome do Responsável:</t>
  </si>
  <si>
    <t>CPF Responsável:</t>
  </si>
  <si>
    <t>Endereço eletrônico:</t>
  </si>
  <si>
    <t>Dados Bancários:</t>
  </si>
  <si>
    <t>DEMONSTRATIVO DE CUSTOS COM MÃO DE OBRA POR POSTO</t>
  </si>
  <si>
    <t>Posto</t>
  </si>
  <si>
    <t>Regime</t>
  </si>
  <si>
    <t>Qnt. de Postos</t>
  </si>
  <si>
    <t>Qnt. de Profissionais</t>
  </si>
  <si>
    <t>Custo hora</t>
  </si>
  <si>
    <t>Custo dia</t>
  </si>
  <si>
    <t>Custo mês</t>
  </si>
  <si>
    <t>Total mensal</t>
  </si>
  <si>
    <t>Total contratual</t>
  </si>
  <si>
    <t>Lucro Real</t>
  </si>
  <si>
    <t>(85) 3085-3823</t>
  </si>
  <si>
    <t>primecomercial.ltda@outlook.com</t>
  </si>
  <si>
    <t>08.714.341/0001-30</t>
  </si>
  <si>
    <t>16/2024</t>
  </si>
  <si>
    <t>PLANILHA DE CUSTO E FORMAÇÃO DE PREÇOS</t>
  </si>
  <si>
    <r>
      <t xml:space="preserve">OBJETO: </t>
    </r>
    <r>
      <rPr>
        <sz val="11"/>
        <color theme="1"/>
        <rFont val="Book Antiqua"/>
        <family val="1"/>
      </rPr>
      <t>Registro de preços para fornecimento de Carregadores (CBO 7832-10), para atuação junto aos abrigos e centros de distribuição e recebimento de doações na cidade dePorto Alegre, em decorrência da Calamidade Pública ocasionada pelas enchentes.</t>
    </r>
  </si>
  <si>
    <t xml:space="preserve">Dispensa Eletrônica Nº: </t>
  </si>
  <si>
    <t>PRIME - LOCAÇÃO DE MÃO-DE-OBRA E TERCEIRIZAÇÃO DE SERVIÇOS LTDA</t>
  </si>
  <si>
    <t>Stefani Santana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</si>
</sst>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\ &quot;meses&quot;\ "/>
    <numFmt numFmtId="165" formatCode="0&quot;h&quot;"/>
    <numFmt numFmtId="166" formatCode="0\ &quot;horas&quot;"/>
    <numFmt numFmtId="167" formatCode="0\ &quot;dias&quot;"/>
    <numFmt numFmtId="168" formatCode="0.00\ &quot;horas&quot;"/>
    <numFmt numFmtId="169" formatCode="0.0%"/>
    <numFmt numFmtId="170" formatCode="00\ &quot;meses&quot;"/>
  </numFmts>
  <fonts count="13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sz val="11"/>
      <color theme="1"/>
      <name val="Arial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u/>
      <sz val="11"/>
      <color theme="1"/>
      <name val="Book Antiqua"/>
      <family val="1"/>
    </font>
    <font>
      <sz val="11"/>
      <name val="Book Antiqua"/>
      <family val="1"/>
    </font>
    <font>
      <i/>
      <sz val="11"/>
      <color theme="1"/>
      <name val="Book Antiqua"/>
      <family val="1"/>
    </font>
    <font>
      <sz val="10"/>
      <color theme="1"/>
      <name val="Book Antiqua"/>
      <family val="1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3" tint="0.89999084444715716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 style="hair">
        <color indexed="64"/>
      </bottom>
      <diagonal/>
    </border>
    <border>
      <left style="thin">
        <color theme="0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6" fillId="0" borderId="0"/>
  </cellStyleXfs>
  <cellXfs count="275">
    <xf numFmtId="0" fontId="0" fillId="0" borderId="0" xfId="0"/>
    <xf numFmtId="44" fontId="7" fillId="15" borderId="6" xfId="2" applyFont="1" applyFill="1" applyBorder="1" applyProtection="1"/>
    <xf numFmtId="43" fontId="10" fillId="0" borderId="0" xfId="1" applyFont="1" applyProtection="1"/>
    <xf numFmtId="9" fontId="8" fillId="15" borderId="16" xfId="9" applyNumberFormat="1" applyFont="1" applyFill="1" applyBorder="1" applyAlignment="1" applyProtection="1">
      <alignment horizontal="center" vertical="center"/>
    </xf>
    <xf numFmtId="44" fontId="7" fillId="15" borderId="31" xfId="6" applyNumberFormat="1" applyFont="1" applyFill="1" applyBorder="1" applyAlignment="1" applyProtection="1">
      <alignment horizontal="center" vertical="center"/>
    </xf>
    <xf numFmtId="44" fontId="7" fillId="15" borderId="16" xfId="6" applyNumberFormat="1" applyFont="1" applyFill="1" applyBorder="1" applyAlignment="1" applyProtection="1">
      <alignment horizontal="center" vertical="center"/>
    </xf>
    <xf numFmtId="44" fontId="7" fillId="15" borderId="31" xfId="5" applyNumberFormat="1" applyFont="1" applyFill="1" applyBorder="1" applyAlignment="1" applyProtection="1">
      <alignment horizontal="center" vertical="center"/>
    </xf>
    <xf numFmtId="44" fontId="7" fillId="15" borderId="19" xfId="6" applyNumberFormat="1" applyFont="1" applyFill="1" applyBorder="1" applyAlignment="1" applyProtection="1">
      <alignment horizontal="center" vertical="center"/>
    </xf>
    <xf numFmtId="44" fontId="7" fillId="15" borderId="29" xfId="6" applyNumberFormat="1" applyFont="1" applyFill="1" applyBorder="1" applyAlignment="1" applyProtection="1">
      <alignment horizontal="center" vertical="center"/>
    </xf>
    <xf numFmtId="44" fontId="7" fillId="15" borderId="23" xfId="6" applyNumberFormat="1" applyFont="1" applyFill="1" applyBorder="1" applyAlignment="1" applyProtection="1">
      <alignment horizontal="center" vertical="center"/>
    </xf>
    <xf numFmtId="44" fontId="7" fillId="15" borderId="15" xfId="5" applyNumberFormat="1" applyFont="1" applyFill="1" applyBorder="1" applyAlignment="1" applyProtection="1">
      <alignment horizontal="center" vertical="center"/>
    </xf>
    <xf numFmtId="10" fontId="7" fillId="15" borderId="18" xfId="5" applyNumberFormat="1" applyFont="1" applyFill="1" applyBorder="1" applyAlignment="1" applyProtection="1">
      <alignment horizontal="center" vertical="center"/>
    </xf>
    <xf numFmtId="0" fontId="7" fillId="15" borderId="28" xfId="5" applyNumberFormat="1" applyFont="1" applyFill="1" applyBorder="1" applyAlignment="1" applyProtection="1">
      <alignment horizontal="center" vertical="center"/>
    </xf>
    <xf numFmtId="44" fontId="7" fillId="15" borderId="31" xfId="17" applyNumberFormat="1" applyFont="1" applyFill="1" applyBorder="1" applyAlignment="1" applyProtection="1">
      <alignment vertical="center"/>
    </xf>
    <xf numFmtId="44" fontId="7" fillId="15" borderId="42" xfId="5" applyNumberFormat="1" applyFont="1" applyFill="1" applyBorder="1" applyAlignment="1" applyProtection="1">
      <alignment horizontal="center" vertical="center"/>
    </xf>
    <xf numFmtId="44" fontId="7" fillId="15" borderId="42" xfId="6" applyNumberFormat="1" applyFont="1" applyFill="1" applyBorder="1" applyAlignment="1" applyProtection="1">
      <alignment horizontal="center" vertical="center"/>
    </xf>
    <xf numFmtId="0" fontId="8" fillId="15" borderId="6" xfId="17" applyFont="1" applyFill="1" applyBorder="1" applyAlignment="1" applyProtection="1">
      <alignment horizontal="center" vertical="center" wrapText="1"/>
    </xf>
    <xf numFmtId="0" fontId="8" fillId="15" borderId="6" xfId="10" applyFont="1" applyFill="1" applyBorder="1" applyAlignment="1" applyProtection="1">
      <alignment horizontal="right"/>
    </xf>
    <xf numFmtId="44" fontId="8" fillId="15" borderId="6" xfId="10" applyNumberFormat="1" applyFont="1" applyFill="1" applyBorder="1" applyAlignment="1" applyProtection="1">
      <alignment horizontal="center"/>
    </xf>
    <xf numFmtId="44" fontId="8" fillId="15" borderId="2" xfId="8" applyNumberFormat="1" applyFont="1" applyFill="1" applyBorder="1" applyAlignment="1" applyProtection="1">
      <alignment horizontal="center" vertical="center" wrapText="1"/>
    </xf>
    <xf numFmtId="44" fontId="8" fillId="15" borderId="3" xfId="8" applyNumberFormat="1" applyFont="1" applyFill="1" applyBorder="1" applyAlignment="1" applyProtection="1">
      <alignment horizontal="center" vertical="center" wrapText="1"/>
    </xf>
    <xf numFmtId="44" fontId="8" fillId="15" borderId="5" xfId="8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7" fillId="15" borderId="0" xfId="0" applyFont="1" applyFill="1" applyProtection="1"/>
    <xf numFmtId="0" fontId="8" fillId="15" borderId="2" xfId="8" applyFont="1" applyFill="1" applyBorder="1" applyAlignment="1" applyProtection="1">
      <alignment horizontal="center" wrapText="1"/>
    </xf>
    <xf numFmtId="0" fontId="8" fillId="15" borderId="3" xfId="8" applyFont="1" applyFill="1" applyBorder="1" applyAlignment="1" applyProtection="1">
      <alignment horizontal="center" wrapText="1"/>
    </xf>
    <xf numFmtId="0" fontId="0" fillId="0" borderId="0" xfId="0" applyProtection="1"/>
    <xf numFmtId="0" fontId="7" fillId="15" borderId="6" xfId="15" applyFont="1" applyFill="1" applyBorder="1" applyAlignment="1" applyProtection="1">
      <alignment horizontal="center"/>
    </xf>
    <xf numFmtId="0" fontId="7" fillId="15" borderId="6" xfId="15" applyFont="1" applyFill="1" applyBorder="1" applyProtection="1"/>
    <xf numFmtId="0" fontId="7" fillId="15" borderId="0" xfId="0" applyFont="1" applyFill="1" applyAlignment="1" applyProtection="1">
      <alignment horizontal="center"/>
    </xf>
    <xf numFmtId="44" fontId="7" fillId="15" borderId="0" xfId="0" applyNumberFormat="1" applyFont="1" applyFill="1" applyProtection="1"/>
    <xf numFmtId="0" fontId="5" fillId="0" borderId="0" xfId="0" applyFont="1" applyAlignment="1" applyProtection="1">
      <alignment horizontal="center"/>
    </xf>
    <xf numFmtId="0" fontId="7" fillId="15" borderId="0" xfId="0" applyFont="1" applyFill="1" applyAlignment="1" applyProtection="1">
      <alignment vertical="center"/>
    </xf>
    <xf numFmtId="0" fontId="8" fillId="15" borderId="2" xfId="8" applyFont="1" applyFill="1" applyBorder="1" applyAlignment="1" applyProtection="1">
      <alignment horizontal="center" vertical="center"/>
    </xf>
    <xf numFmtId="0" fontId="8" fillId="15" borderId="3" xfId="8" applyFont="1" applyFill="1" applyBorder="1" applyAlignment="1" applyProtection="1">
      <alignment horizontal="center" vertical="center"/>
    </xf>
    <xf numFmtId="0" fontId="8" fillId="15" borderId="5" xfId="8" applyFont="1" applyFill="1" applyBorder="1" applyAlignment="1" applyProtection="1">
      <alignment horizontal="center" vertical="center"/>
    </xf>
    <xf numFmtId="0" fontId="7" fillId="15" borderId="2" xfId="13" applyFont="1" applyFill="1" applyBorder="1" applyAlignment="1" applyProtection="1">
      <alignment horizontal="center" vertical="center"/>
    </xf>
    <xf numFmtId="0" fontId="7" fillId="15" borderId="3" xfId="0" applyFont="1" applyFill="1" applyBorder="1" applyAlignment="1" applyProtection="1">
      <alignment horizontal="left" vertical="center"/>
    </xf>
    <xf numFmtId="0" fontId="7" fillId="15" borderId="6" xfId="0" applyFont="1" applyFill="1" applyBorder="1" applyAlignment="1" applyProtection="1">
      <alignment horizontal="center" vertical="center" wrapText="1"/>
    </xf>
    <xf numFmtId="0" fontId="7" fillId="15" borderId="2" xfId="12" applyFont="1" applyFill="1" applyBorder="1" applyAlignment="1" applyProtection="1">
      <alignment horizontal="center" vertical="center"/>
    </xf>
    <xf numFmtId="49" fontId="7" fillId="15" borderId="6" xfId="0" applyNumberFormat="1" applyFont="1" applyFill="1" applyBorder="1" applyAlignment="1" applyProtection="1">
      <alignment horizontal="center"/>
    </xf>
    <xf numFmtId="49" fontId="7" fillId="15" borderId="6" xfId="0" applyNumberFormat="1" applyFont="1" applyFill="1" applyBorder="1" applyAlignment="1" applyProtection="1">
      <alignment horizontal="center" vertical="top"/>
    </xf>
    <xf numFmtId="14" fontId="7" fillId="15" borderId="6" xfId="0" applyNumberFormat="1" applyFont="1" applyFill="1" applyBorder="1" applyAlignment="1" applyProtection="1">
      <alignment horizontal="center" vertical="top"/>
    </xf>
    <xf numFmtId="49" fontId="7" fillId="15" borderId="6" xfId="0" applyNumberFormat="1" applyFont="1" applyFill="1" applyBorder="1" applyAlignment="1" applyProtection="1">
      <alignment horizontal="center" vertical="center"/>
    </xf>
    <xf numFmtId="164" fontId="7" fillId="15" borderId="6" xfId="0" applyNumberFormat="1" applyFont="1" applyFill="1" applyBorder="1" applyAlignment="1" applyProtection="1">
      <alignment horizontal="center"/>
    </xf>
    <xf numFmtId="44" fontId="7" fillId="15" borderId="6" xfId="0" applyNumberFormat="1" applyFont="1" applyFill="1" applyBorder="1" applyAlignment="1" applyProtection="1">
      <alignment horizontal="center" vertical="center"/>
    </xf>
    <xf numFmtId="44" fontId="7" fillId="15" borderId="2" xfId="2" applyFont="1" applyFill="1" applyBorder="1" applyAlignment="1" applyProtection="1">
      <alignment horizontal="center" vertical="center"/>
    </xf>
    <xf numFmtId="44" fontId="7" fillId="15" borderId="5" xfId="2" applyFont="1" applyFill="1" applyBorder="1" applyAlignment="1" applyProtection="1">
      <alignment horizontal="center" vertical="center"/>
    </xf>
    <xf numFmtId="0" fontId="7" fillId="15" borderId="8" xfId="0" applyFont="1" applyFill="1" applyBorder="1" applyAlignment="1" applyProtection="1">
      <alignment vertical="center"/>
    </xf>
    <xf numFmtId="0" fontId="7" fillId="15" borderId="9" xfId="0" applyFont="1" applyFill="1" applyBorder="1" applyAlignment="1" applyProtection="1">
      <alignment horizontal="center" vertical="center"/>
    </xf>
    <xf numFmtId="0" fontId="7" fillId="15" borderId="9" xfId="0" applyFont="1" applyFill="1" applyBorder="1" applyAlignment="1" applyProtection="1">
      <alignment vertical="center"/>
    </xf>
    <xf numFmtId="10" fontId="7" fillId="15" borderId="9" xfId="0" applyNumberFormat="1" applyFont="1" applyFill="1" applyBorder="1" applyAlignment="1" applyProtection="1">
      <alignment horizontal="right" vertical="center"/>
    </xf>
    <xf numFmtId="0" fontId="7" fillId="15" borderId="10" xfId="0" applyFont="1" applyFill="1" applyBorder="1" applyAlignment="1" applyProtection="1">
      <alignment vertical="center"/>
    </xf>
    <xf numFmtId="0" fontId="8" fillId="15" borderId="0" xfId="11" applyFont="1" applyFill="1" applyBorder="1" applyAlignment="1" applyProtection="1">
      <alignment horizontal="left" vertical="center"/>
    </xf>
    <xf numFmtId="0" fontId="8" fillId="15" borderId="6" xfId="8" applyFont="1" applyFill="1" applyBorder="1" applyAlignment="1" applyProtection="1">
      <alignment horizontal="center" vertical="center"/>
    </xf>
    <xf numFmtId="0" fontId="8" fillId="15" borderId="11" xfId="13" applyFont="1" applyFill="1" applyBorder="1" applyAlignment="1" applyProtection="1">
      <alignment horizontal="left" vertical="center" wrapText="1"/>
    </xf>
    <xf numFmtId="0" fontId="8" fillId="15" borderId="2" xfId="13" applyFont="1" applyFill="1" applyBorder="1" applyAlignment="1" applyProtection="1">
      <alignment horizontal="center" vertical="center"/>
    </xf>
    <xf numFmtId="0" fontId="8" fillId="15" borderId="3" xfId="13" applyFont="1" applyFill="1" applyBorder="1" applyAlignment="1" applyProtection="1">
      <alignment vertical="center" wrapText="1"/>
    </xf>
    <xf numFmtId="0" fontId="8" fillId="15" borderId="5" xfId="13" applyFont="1" applyFill="1" applyBorder="1" applyAlignment="1" applyProtection="1">
      <alignment vertical="center" wrapText="1"/>
    </xf>
    <xf numFmtId="0" fontId="8" fillId="15" borderId="6" xfId="13" applyNumberFormat="1" applyFont="1" applyFill="1" applyBorder="1" applyAlignment="1" applyProtection="1">
      <alignment horizontal="center" vertical="center" wrapText="1"/>
    </xf>
    <xf numFmtId="0" fontId="8" fillId="15" borderId="11" xfId="13" applyFont="1" applyFill="1" applyBorder="1" applyAlignment="1" applyProtection="1">
      <alignment horizontal="left" vertical="center"/>
    </xf>
    <xf numFmtId="0" fontId="7" fillId="15" borderId="3" xfId="13" applyFont="1" applyFill="1" applyBorder="1" applyAlignment="1" applyProtection="1">
      <alignment vertical="center"/>
    </xf>
    <xf numFmtId="0" fontId="7" fillId="15" borderId="5" xfId="13" applyFont="1" applyFill="1" applyBorder="1" applyAlignment="1" applyProtection="1">
      <alignment vertical="center"/>
    </xf>
    <xf numFmtId="0" fontId="7" fillId="15" borderId="6" xfId="13" applyNumberFormat="1" applyFont="1" applyFill="1" applyBorder="1" applyAlignment="1" applyProtection="1">
      <alignment horizontal="center" vertical="center"/>
    </xf>
    <xf numFmtId="0" fontId="8" fillId="15" borderId="11" xfId="12" applyFont="1" applyFill="1" applyBorder="1" applyAlignment="1" applyProtection="1">
      <alignment horizontal="left" vertical="center"/>
    </xf>
    <xf numFmtId="0" fontId="7" fillId="15" borderId="3" xfId="12" applyFont="1" applyFill="1" applyBorder="1" applyAlignment="1" applyProtection="1">
      <alignment vertical="center"/>
    </xf>
    <xf numFmtId="0" fontId="7" fillId="15" borderId="5" xfId="12" applyFont="1" applyFill="1" applyBorder="1" applyAlignment="1" applyProtection="1">
      <alignment vertical="center"/>
    </xf>
    <xf numFmtId="44" fontId="7" fillId="15" borderId="6" xfId="2" applyFont="1" applyFill="1" applyBorder="1" applyAlignment="1" applyProtection="1">
      <alignment horizontal="center" vertical="center"/>
    </xf>
    <xf numFmtId="165" fontId="7" fillId="15" borderId="6" xfId="13" applyNumberFormat="1" applyFont="1" applyFill="1" applyBorder="1" applyAlignment="1" applyProtection="1">
      <alignment horizontal="center" vertical="center"/>
    </xf>
    <xf numFmtId="0" fontId="7" fillId="15" borderId="6" xfId="0" applyFont="1" applyFill="1" applyBorder="1" applyAlignment="1" applyProtection="1">
      <alignment horizontal="center"/>
    </xf>
    <xf numFmtId="14" fontId="7" fillId="15" borderId="6" xfId="13" applyNumberFormat="1" applyFont="1" applyFill="1" applyBorder="1" applyAlignment="1" applyProtection="1">
      <alignment horizontal="center" vertical="center"/>
    </xf>
    <xf numFmtId="44" fontId="9" fillId="15" borderId="6" xfId="14" applyNumberFormat="1" applyFont="1" applyFill="1" applyBorder="1" applyAlignment="1" applyProtection="1">
      <alignment horizontal="center" vertical="center"/>
    </xf>
    <xf numFmtId="44" fontId="7" fillId="15" borderId="6" xfId="13" applyNumberFormat="1" applyFont="1" applyFill="1" applyBorder="1" applyAlignment="1" applyProtection="1">
      <alignment horizontal="center" vertical="center"/>
    </xf>
    <xf numFmtId="44" fontId="7" fillId="15" borderId="6" xfId="12" applyNumberFormat="1" applyFont="1" applyFill="1" applyBorder="1" applyAlignment="1" applyProtection="1">
      <alignment horizontal="center" vertical="center"/>
    </xf>
    <xf numFmtId="0" fontId="8" fillId="15" borderId="0" xfId="16" applyFont="1" applyFill="1" applyAlignment="1" applyProtection="1">
      <alignment horizontal="center" vertical="center"/>
    </xf>
    <xf numFmtId="0" fontId="7" fillId="15" borderId="0" xfId="5" applyFont="1" applyFill="1" applyBorder="1" applyAlignment="1" applyProtection="1">
      <alignment vertical="center"/>
    </xf>
    <xf numFmtId="10" fontId="7" fillId="15" borderId="4" xfId="5" applyNumberFormat="1" applyFont="1" applyFill="1" applyBorder="1" applyAlignment="1" applyProtection="1">
      <alignment horizontal="right" vertical="center"/>
    </xf>
    <xf numFmtId="44" fontId="7" fillId="15" borderId="11" xfId="5" applyNumberFormat="1" applyFont="1" applyFill="1" applyBorder="1" applyAlignment="1" applyProtection="1">
      <alignment horizontal="center" vertical="center"/>
    </xf>
    <xf numFmtId="0" fontId="8" fillId="15" borderId="1" xfId="10" applyFont="1" applyFill="1" applyBorder="1" applyAlignment="1" applyProtection="1">
      <alignment vertical="center"/>
    </xf>
    <xf numFmtId="0" fontId="8" fillId="15" borderId="0" xfId="10" applyFont="1" applyFill="1" applyBorder="1" applyAlignment="1" applyProtection="1">
      <alignment vertical="center"/>
    </xf>
    <xf numFmtId="0" fontId="8" fillId="15" borderId="12" xfId="5" applyFont="1" applyFill="1" applyBorder="1" applyAlignment="1" applyProtection="1">
      <alignment horizontal="center" vertical="center"/>
    </xf>
    <xf numFmtId="0" fontId="8" fillId="15" borderId="11" xfId="5" applyFont="1" applyFill="1" applyBorder="1" applyAlignment="1" applyProtection="1">
      <alignment vertical="center"/>
    </xf>
    <xf numFmtId="0" fontId="8" fillId="15" borderId="13" xfId="5" applyFont="1" applyFill="1" applyBorder="1" applyAlignment="1" applyProtection="1">
      <alignment horizontal="center" vertical="center"/>
    </xf>
    <xf numFmtId="44" fontId="7" fillId="15" borderId="6" xfId="5" applyNumberFormat="1" applyFont="1" applyFill="1" applyBorder="1" applyAlignment="1" applyProtection="1">
      <alignment horizontal="center" vertical="center"/>
    </xf>
    <xf numFmtId="0" fontId="8" fillId="15" borderId="14" xfId="6" applyFont="1" applyFill="1" applyBorder="1" applyAlignment="1" applyProtection="1">
      <alignment horizontal="center" vertical="center"/>
    </xf>
    <xf numFmtId="0" fontId="8" fillId="15" borderId="13" xfId="6" applyFont="1" applyFill="1" applyBorder="1" applyAlignment="1" applyProtection="1">
      <alignment vertical="center"/>
    </xf>
    <xf numFmtId="0" fontId="8" fillId="15" borderId="15" xfId="5" applyFont="1" applyFill="1" applyBorder="1" applyAlignment="1" applyProtection="1">
      <alignment horizontal="center" vertical="center"/>
    </xf>
    <xf numFmtId="0" fontId="7" fillId="15" borderId="16" xfId="0" applyFont="1" applyFill="1" applyBorder="1" applyAlignment="1" applyProtection="1">
      <alignment vertical="center"/>
    </xf>
    <xf numFmtId="0" fontId="8" fillId="15" borderId="12" xfId="6" applyFont="1" applyFill="1" applyBorder="1" applyAlignment="1" applyProtection="1">
      <alignment horizontal="center" vertical="center"/>
    </xf>
    <xf numFmtId="0" fontId="11" fillId="15" borderId="17" xfId="0" applyFont="1" applyFill="1" applyBorder="1" applyAlignment="1" applyProtection="1">
      <alignment horizontal="left" vertical="center" indent="2"/>
    </xf>
    <xf numFmtId="0" fontId="7" fillId="15" borderId="18" xfId="6" applyFont="1" applyFill="1" applyBorder="1" applyAlignment="1" applyProtection="1">
      <alignment horizontal="center" vertical="center"/>
    </xf>
    <xf numFmtId="9" fontId="11" fillId="15" borderId="19" xfId="6" applyNumberFormat="1" applyFont="1" applyFill="1" applyBorder="1" applyAlignment="1" applyProtection="1">
      <alignment horizontal="center" vertical="center"/>
    </xf>
    <xf numFmtId="0" fontId="8" fillId="15" borderId="20" xfId="6" applyFont="1" applyFill="1" applyBorder="1" applyAlignment="1" applyProtection="1">
      <alignment horizontal="center" vertical="center"/>
    </xf>
    <xf numFmtId="0" fontId="11" fillId="15" borderId="21" xfId="6" applyFont="1" applyFill="1" applyBorder="1" applyAlignment="1" applyProtection="1">
      <alignment horizontal="left" vertical="center" indent="2"/>
    </xf>
    <xf numFmtId="0" fontId="8" fillId="15" borderId="22" xfId="6" applyFont="1" applyFill="1" applyBorder="1" applyAlignment="1" applyProtection="1">
      <alignment horizontal="center" vertical="center"/>
    </xf>
    <xf numFmtId="0" fontId="8" fillId="15" borderId="24" xfId="5" applyFont="1" applyFill="1" applyBorder="1" applyAlignment="1" applyProtection="1">
      <alignment horizontal="center" vertical="center"/>
    </xf>
    <xf numFmtId="0" fontId="8" fillId="15" borderId="11" xfId="9" applyFont="1" applyFill="1" applyBorder="1" applyAlignment="1" applyProtection="1">
      <alignment vertical="center"/>
    </xf>
    <xf numFmtId="0" fontId="8" fillId="15" borderId="25" xfId="9" applyFont="1" applyFill="1" applyBorder="1" applyAlignment="1" applyProtection="1">
      <alignment horizontal="center" vertical="center"/>
    </xf>
    <xf numFmtId="0" fontId="11" fillId="15" borderId="26" xfId="5" applyFont="1" applyFill="1" applyBorder="1" applyAlignment="1" applyProtection="1">
      <alignment horizontal="left" vertical="center" indent="2"/>
    </xf>
    <xf numFmtId="0" fontId="11" fillId="15" borderId="18" xfId="5" applyFont="1" applyFill="1" applyBorder="1" applyAlignment="1" applyProtection="1">
      <alignment horizontal="center" vertical="center"/>
    </xf>
    <xf numFmtId="44" fontId="11" fillId="15" borderId="19" xfId="5" applyNumberFormat="1" applyFont="1" applyFill="1" applyBorder="1" applyAlignment="1" applyProtection="1">
      <alignment horizontal="center" vertical="center"/>
    </xf>
    <xf numFmtId="0" fontId="11" fillId="15" borderId="27" xfId="5" applyFont="1" applyFill="1" applyBorder="1" applyAlignment="1" applyProtection="1">
      <alignment horizontal="left" vertical="center" indent="2"/>
    </xf>
    <xf numFmtId="0" fontId="11" fillId="15" borderId="28" xfId="6" applyFont="1" applyFill="1" applyBorder="1" applyAlignment="1" applyProtection="1">
      <alignment horizontal="center" vertical="center"/>
    </xf>
    <xf numFmtId="9" fontId="11" fillId="15" borderId="29" xfId="6" applyNumberFormat="1" applyFont="1" applyFill="1" applyBorder="1" applyAlignment="1" applyProtection="1">
      <alignment horizontal="center" vertical="center"/>
    </xf>
    <xf numFmtId="0" fontId="8" fillId="15" borderId="30" xfId="5" applyFont="1" applyFill="1" applyBorder="1" applyAlignment="1" applyProtection="1">
      <alignment horizontal="center" vertical="center"/>
    </xf>
    <xf numFmtId="0" fontId="7" fillId="15" borderId="21" xfId="0" applyFont="1" applyFill="1" applyBorder="1" applyAlignment="1" applyProtection="1">
      <alignment vertical="center"/>
    </xf>
    <xf numFmtId="0" fontId="8" fillId="15" borderId="25" xfId="10" applyFont="1" applyFill="1" applyBorder="1" applyAlignment="1" applyProtection="1">
      <alignment vertical="center"/>
    </xf>
    <xf numFmtId="0" fontId="8" fillId="15" borderId="15" xfId="6" applyFont="1" applyFill="1" applyBorder="1" applyAlignment="1" applyProtection="1">
      <alignment horizontal="center" vertical="center"/>
    </xf>
    <xf numFmtId="0" fontId="11" fillId="15" borderId="17" xfId="6" applyFont="1" applyFill="1" applyBorder="1" applyAlignment="1" applyProtection="1">
      <alignment horizontal="left" vertical="center" indent="2"/>
    </xf>
    <xf numFmtId="9" fontId="7" fillId="15" borderId="19" xfId="6" applyNumberFormat="1" applyFont="1" applyFill="1" applyBorder="1" applyAlignment="1" applyProtection="1">
      <alignment horizontal="center" vertical="center"/>
    </xf>
    <xf numFmtId="0" fontId="8" fillId="15" borderId="11" xfId="6" applyFont="1" applyFill="1" applyBorder="1" applyAlignment="1" applyProtection="1">
      <alignment vertical="center"/>
    </xf>
    <xf numFmtId="0" fontId="7" fillId="15" borderId="25" xfId="6" applyFont="1" applyFill="1" applyBorder="1" applyAlignment="1" applyProtection="1">
      <alignment horizontal="center" vertical="center"/>
    </xf>
    <xf numFmtId="0" fontId="11" fillId="15" borderId="18" xfId="6" applyFont="1" applyFill="1" applyBorder="1" applyAlignment="1" applyProtection="1">
      <alignment horizontal="center" vertical="center"/>
    </xf>
    <xf numFmtId="166" fontId="7" fillId="15" borderId="19" xfId="6" applyNumberFormat="1" applyFont="1" applyFill="1" applyBorder="1" applyAlignment="1" applyProtection="1">
      <alignment horizontal="center" vertical="center"/>
    </xf>
    <xf numFmtId="0" fontId="11" fillId="15" borderId="28" xfId="5" applyFont="1" applyFill="1" applyBorder="1" applyAlignment="1" applyProtection="1">
      <alignment horizontal="center" vertical="center"/>
    </xf>
    <xf numFmtId="167" fontId="7" fillId="15" borderId="29" xfId="5" applyNumberFormat="1" applyFont="1" applyFill="1" applyBorder="1" applyAlignment="1" applyProtection="1">
      <alignment horizontal="center" vertical="center"/>
    </xf>
    <xf numFmtId="0" fontId="8" fillId="15" borderId="32" xfId="5" applyFont="1" applyFill="1" applyBorder="1" applyAlignment="1" applyProtection="1">
      <alignment vertical="center"/>
    </xf>
    <xf numFmtId="44" fontId="7" fillId="15" borderId="23" xfId="5" applyNumberFormat="1" applyFont="1" applyFill="1" applyBorder="1" applyAlignment="1" applyProtection="1">
      <alignment horizontal="center" vertical="center"/>
    </xf>
    <xf numFmtId="0" fontId="8" fillId="15" borderId="33" xfId="6" applyFont="1" applyFill="1" applyBorder="1" applyAlignment="1" applyProtection="1">
      <alignment horizontal="center" vertical="center"/>
    </xf>
    <xf numFmtId="0" fontId="8" fillId="15" borderId="34" xfId="6" applyFont="1" applyFill="1" applyBorder="1" applyAlignment="1" applyProtection="1">
      <alignment vertical="center"/>
    </xf>
    <xf numFmtId="0" fontId="8" fillId="15" borderId="0" xfId="10" applyFont="1" applyFill="1" applyBorder="1" applyAlignment="1" applyProtection="1">
      <alignment horizontal="center" vertical="center"/>
    </xf>
    <xf numFmtId="0" fontId="8" fillId="15" borderId="24" xfId="6" applyFont="1" applyFill="1" applyBorder="1" applyAlignment="1" applyProtection="1">
      <alignment horizontal="center" vertical="center"/>
    </xf>
    <xf numFmtId="0" fontId="11" fillId="15" borderId="26" xfId="6" applyFont="1" applyFill="1" applyBorder="1" applyAlignment="1" applyProtection="1">
      <alignment horizontal="left" vertical="center" indent="2"/>
    </xf>
    <xf numFmtId="168" fontId="7" fillId="15" borderId="19" xfId="6" applyNumberFormat="1" applyFont="1" applyFill="1" applyBorder="1" applyAlignment="1" applyProtection="1">
      <alignment horizontal="center" vertical="center"/>
    </xf>
    <xf numFmtId="0" fontId="8" fillId="15" borderId="30" xfId="6" applyFont="1" applyFill="1" applyBorder="1" applyAlignment="1" applyProtection="1">
      <alignment horizontal="center" vertical="center"/>
    </xf>
    <xf numFmtId="0" fontId="8" fillId="15" borderId="32" xfId="6" applyFont="1" applyFill="1" applyBorder="1" applyAlignment="1" applyProtection="1">
      <alignment vertical="center"/>
    </xf>
    <xf numFmtId="0" fontId="8" fillId="15" borderId="33" xfId="5" applyFont="1" applyFill="1" applyBorder="1" applyAlignment="1" applyProtection="1">
      <alignment horizontal="center" vertical="center"/>
    </xf>
    <xf numFmtId="0" fontId="8" fillId="15" borderId="34" xfId="5" applyFont="1" applyFill="1" applyBorder="1" applyAlignment="1" applyProtection="1">
      <alignment vertical="center"/>
    </xf>
    <xf numFmtId="0" fontId="7" fillId="15" borderId="18" xfId="5" applyFont="1" applyFill="1" applyBorder="1" applyAlignment="1" applyProtection="1">
      <alignment horizontal="center" vertical="center"/>
    </xf>
    <xf numFmtId="9" fontId="7" fillId="15" borderId="19" xfId="5" applyNumberFormat="1" applyFont="1" applyFill="1" applyBorder="1" applyAlignment="1" applyProtection="1">
      <alignment horizontal="center" vertical="center"/>
    </xf>
    <xf numFmtId="0" fontId="7" fillId="15" borderId="28" xfId="6" applyFont="1" applyFill="1" applyBorder="1" applyAlignment="1" applyProtection="1">
      <alignment horizontal="center" vertical="center"/>
    </xf>
    <xf numFmtId="166" fontId="7" fillId="15" borderId="29" xfId="6" applyNumberFormat="1" applyFont="1" applyFill="1" applyBorder="1" applyAlignment="1" applyProtection="1">
      <alignment horizontal="center" vertical="center"/>
    </xf>
    <xf numFmtId="0" fontId="11" fillId="15" borderId="27" xfId="6" applyFont="1" applyFill="1" applyBorder="1" applyAlignment="1" applyProtection="1">
      <alignment horizontal="left" vertical="center" indent="2"/>
    </xf>
    <xf numFmtId="0" fontId="8" fillId="15" borderId="2" xfId="5" applyFont="1" applyFill="1" applyBorder="1" applyAlignment="1" applyProtection="1">
      <alignment horizontal="center" vertical="center"/>
    </xf>
    <xf numFmtId="0" fontId="8" fillId="15" borderId="35" xfId="5" applyFont="1" applyFill="1" applyBorder="1" applyAlignment="1" applyProtection="1">
      <alignment vertical="center"/>
    </xf>
    <xf numFmtId="0" fontId="8" fillId="15" borderId="5" xfId="5" applyFont="1" applyFill="1" applyBorder="1" applyAlignment="1" applyProtection="1">
      <alignment horizontal="center" vertical="center"/>
    </xf>
    <xf numFmtId="0" fontId="8" fillId="15" borderId="11" xfId="10" applyFont="1" applyFill="1" applyBorder="1" applyAlignment="1" applyProtection="1">
      <alignment vertical="center"/>
    </xf>
    <xf numFmtId="0" fontId="8" fillId="15" borderId="2" xfId="6" applyFont="1" applyFill="1" applyBorder="1" applyAlignment="1" applyProtection="1">
      <alignment horizontal="center" vertical="center"/>
    </xf>
    <xf numFmtId="0" fontId="8" fillId="15" borderId="35" xfId="6" applyFont="1" applyFill="1" applyBorder="1" applyAlignment="1" applyProtection="1">
      <alignment vertical="center"/>
    </xf>
    <xf numFmtId="0" fontId="7" fillId="15" borderId="5" xfId="6" applyFont="1" applyFill="1" applyBorder="1" applyAlignment="1" applyProtection="1">
      <alignment horizontal="center" vertical="center"/>
    </xf>
    <xf numFmtId="44" fontId="7" fillId="15" borderId="6" xfId="6" applyNumberFormat="1" applyFont="1" applyFill="1" applyBorder="1" applyAlignment="1" applyProtection="1">
      <alignment horizontal="center" vertical="center"/>
    </xf>
    <xf numFmtId="0" fontId="8" fillId="15" borderId="8" xfId="10" applyFont="1" applyFill="1" applyBorder="1" applyAlignment="1" applyProtection="1">
      <alignment vertical="center"/>
    </xf>
    <xf numFmtId="44" fontId="8" fillId="15" borderId="6" xfId="8" applyNumberFormat="1" applyFont="1" applyFill="1" applyBorder="1" applyAlignment="1" applyProtection="1">
      <alignment horizontal="center" vertical="center"/>
    </xf>
    <xf numFmtId="44" fontId="8" fillId="15" borderId="5" xfId="8" applyNumberFormat="1" applyFont="1" applyFill="1" applyBorder="1" applyAlignment="1" applyProtection="1">
      <alignment horizontal="center" vertical="center"/>
    </xf>
    <xf numFmtId="0" fontId="8" fillId="15" borderId="7" xfId="0" applyFont="1" applyFill="1" applyBorder="1" applyAlignment="1" applyProtection="1">
      <alignment horizontal="center" vertical="center"/>
    </xf>
    <xf numFmtId="0" fontId="8" fillId="15" borderId="0" xfId="0" applyFont="1" applyFill="1" applyAlignment="1" applyProtection="1">
      <alignment horizontal="center" vertical="center"/>
    </xf>
    <xf numFmtId="0" fontId="8" fillId="15" borderId="0" xfId="16" applyFont="1" applyFill="1" applyAlignment="1" applyProtection="1">
      <alignment horizontal="left" vertical="center"/>
    </xf>
    <xf numFmtId="44" fontId="8" fillId="15" borderId="0" xfId="10" applyNumberFormat="1" applyFont="1" applyFill="1" applyBorder="1" applyAlignment="1" applyProtection="1">
      <alignment vertical="center"/>
    </xf>
    <xf numFmtId="0" fontId="8" fillId="15" borderId="9" xfId="10" applyFont="1" applyFill="1" applyBorder="1" applyAlignment="1" applyProtection="1">
      <alignment vertical="center"/>
    </xf>
    <xf numFmtId="0" fontId="8" fillId="15" borderId="2" xfId="17" applyFont="1" applyFill="1" applyBorder="1" applyAlignment="1" applyProtection="1">
      <alignment horizontal="center" vertical="center"/>
    </xf>
    <xf numFmtId="0" fontId="8" fillId="15" borderId="3" xfId="17" applyFont="1" applyFill="1" applyBorder="1" applyAlignment="1" applyProtection="1">
      <alignment horizontal="center" vertical="center"/>
    </xf>
    <xf numFmtId="0" fontId="8" fillId="15" borderId="5" xfId="17" applyFont="1" applyFill="1" applyBorder="1" applyAlignment="1" applyProtection="1">
      <alignment horizontal="center" vertical="center"/>
    </xf>
    <xf numFmtId="0" fontId="8" fillId="15" borderId="20" xfId="5" applyFont="1" applyFill="1" applyBorder="1" applyAlignment="1" applyProtection="1">
      <alignment horizontal="center" vertical="center"/>
    </xf>
    <xf numFmtId="10" fontId="8" fillId="15" borderId="5" xfId="3" applyNumberFormat="1" applyFont="1" applyFill="1" applyBorder="1" applyAlignment="1" applyProtection="1">
      <alignment horizontal="center" vertical="center"/>
    </xf>
    <xf numFmtId="10" fontId="7" fillId="15" borderId="0" xfId="0" applyNumberFormat="1" applyFont="1" applyFill="1" applyProtection="1"/>
    <xf numFmtId="0" fontId="8" fillId="15" borderId="4" xfId="10" applyFont="1" applyFill="1" applyBorder="1" applyAlignment="1" applyProtection="1">
      <alignment vertical="center"/>
    </xf>
    <xf numFmtId="44" fontId="8" fillId="15" borderId="6" xfId="17" applyNumberFormat="1" applyFont="1" applyFill="1" applyBorder="1" applyAlignment="1" applyProtection="1">
      <alignment vertical="center"/>
    </xf>
    <xf numFmtId="44" fontId="7" fillId="15" borderId="5" xfId="5" applyNumberFormat="1" applyFont="1" applyFill="1" applyBorder="1" applyAlignment="1" applyProtection="1">
      <alignment horizontal="center" vertical="center"/>
    </xf>
    <xf numFmtId="0" fontId="8" fillId="15" borderId="33" xfId="7" applyFont="1" applyFill="1" applyBorder="1" applyAlignment="1" applyProtection="1">
      <alignment horizontal="center" vertical="center"/>
    </xf>
    <xf numFmtId="0" fontId="8" fillId="15" borderId="36" xfId="5" applyFont="1" applyFill="1" applyBorder="1" applyAlignment="1" applyProtection="1">
      <alignment vertical="center"/>
    </xf>
    <xf numFmtId="0" fontId="8" fillId="15" borderId="24" xfId="7" applyFont="1" applyFill="1" applyBorder="1" applyAlignment="1" applyProtection="1">
      <alignment horizontal="center" vertical="center"/>
    </xf>
    <xf numFmtId="0" fontId="11" fillId="15" borderId="37" xfId="5" applyFont="1" applyFill="1" applyBorder="1" applyAlignment="1" applyProtection="1">
      <alignment horizontal="left" vertical="center" indent="2"/>
    </xf>
    <xf numFmtId="0" fontId="8" fillId="15" borderId="12" xfId="7" applyFont="1" applyFill="1" applyBorder="1" applyAlignment="1" applyProtection="1">
      <alignment horizontal="center" vertical="center"/>
    </xf>
    <xf numFmtId="0" fontId="11" fillId="15" borderId="38" xfId="5" applyFont="1" applyFill="1" applyBorder="1" applyAlignment="1" applyProtection="1">
      <alignment horizontal="left" vertical="center" indent="2"/>
    </xf>
    <xf numFmtId="2" fontId="7" fillId="15" borderId="28" xfId="5" applyNumberFormat="1" applyFont="1" applyFill="1" applyBorder="1" applyAlignment="1" applyProtection="1">
      <alignment horizontal="center" vertical="center"/>
    </xf>
    <xf numFmtId="0" fontId="8" fillId="15" borderId="30" xfId="7" applyFont="1" applyFill="1" applyBorder="1" applyAlignment="1" applyProtection="1">
      <alignment horizontal="center" vertical="center"/>
    </xf>
    <xf numFmtId="10" fontId="8" fillId="15" borderId="22" xfId="5" applyNumberFormat="1" applyFont="1" applyFill="1" applyBorder="1" applyAlignment="1" applyProtection="1">
      <alignment horizontal="center" vertical="center"/>
    </xf>
    <xf numFmtId="44" fontId="7" fillId="15" borderId="22" xfId="2" applyFont="1" applyFill="1" applyBorder="1" applyAlignment="1" applyProtection="1">
      <alignment vertical="center"/>
    </xf>
    <xf numFmtId="0" fontId="7" fillId="15" borderId="15" xfId="17" applyFont="1" applyFill="1" applyBorder="1" applyAlignment="1" applyProtection="1">
      <alignment vertical="center"/>
    </xf>
    <xf numFmtId="44" fontId="7" fillId="15" borderId="39" xfId="6" applyNumberFormat="1" applyFont="1" applyFill="1" applyBorder="1" applyAlignment="1" applyProtection="1">
      <alignment horizontal="right" vertical="center"/>
    </xf>
    <xf numFmtId="44" fontId="7" fillId="15" borderId="40" xfId="6" applyNumberFormat="1" applyFont="1" applyFill="1" applyBorder="1" applyAlignment="1" applyProtection="1">
      <alignment horizontal="center" vertical="center"/>
    </xf>
    <xf numFmtId="10" fontId="7" fillId="15" borderId="28" xfId="5" applyNumberFormat="1" applyFont="1" applyFill="1" applyBorder="1" applyAlignment="1" applyProtection="1">
      <alignment horizontal="right" vertical="center"/>
    </xf>
    <xf numFmtId="0" fontId="7" fillId="15" borderId="29" xfId="5" applyNumberFormat="1" applyFont="1" applyFill="1" applyBorder="1" applyAlignment="1" applyProtection="1">
      <alignment horizontal="center" vertical="center"/>
    </xf>
    <xf numFmtId="10" fontId="7" fillId="15" borderId="28" xfId="6" applyNumberFormat="1" applyFont="1" applyFill="1" applyBorder="1" applyAlignment="1" applyProtection="1">
      <alignment horizontal="right" vertical="center"/>
    </xf>
    <xf numFmtId="0" fontId="7" fillId="15" borderId="29" xfId="6" applyNumberFormat="1" applyFont="1" applyFill="1" applyBorder="1" applyAlignment="1" applyProtection="1">
      <alignment horizontal="center" vertical="center"/>
    </xf>
    <xf numFmtId="9" fontId="7" fillId="15" borderId="29" xfId="5" applyNumberFormat="1" applyFont="1" applyFill="1" applyBorder="1" applyAlignment="1" applyProtection="1">
      <alignment horizontal="center" vertical="center"/>
    </xf>
    <xf numFmtId="0" fontId="7" fillId="15" borderId="32" xfId="0" applyFont="1" applyFill="1" applyBorder="1" applyAlignment="1" applyProtection="1">
      <alignment vertical="center"/>
    </xf>
    <xf numFmtId="44" fontId="8" fillId="15" borderId="22" xfId="5" applyNumberFormat="1" applyFont="1" applyFill="1" applyBorder="1" applyAlignment="1" applyProtection="1">
      <alignment horizontal="center" vertical="center"/>
    </xf>
    <xf numFmtId="0" fontId="8" fillId="15" borderId="36" xfId="6" applyFont="1" applyFill="1" applyBorder="1" applyAlignment="1" applyProtection="1">
      <alignment vertical="center"/>
    </xf>
    <xf numFmtId="44" fontId="8" fillId="15" borderId="41" xfId="5" applyNumberFormat="1" applyFont="1" applyFill="1" applyBorder="1" applyAlignment="1" applyProtection="1">
      <alignment horizontal="center" vertical="center"/>
    </xf>
    <xf numFmtId="0" fontId="11" fillId="15" borderId="37" xfId="6" applyFont="1" applyFill="1" applyBorder="1" applyAlignment="1" applyProtection="1">
      <alignment horizontal="left" vertical="center" indent="2"/>
    </xf>
    <xf numFmtId="9" fontId="7" fillId="15" borderId="29" xfId="6" applyNumberFormat="1" applyFont="1" applyFill="1" applyBorder="1" applyAlignment="1" applyProtection="1">
      <alignment horizontal="center" vertical="center"/>
    </xf>
    <xf numFmtId="0" fontId="11" fillId="15" borderId="37" xfId="5" applyFont="1" applyFill="1" applyBorder="1" applyAlignment="1" applyProtection="1">
      <alignment horizontal="left" vertical="center"/>
    </xf>
    <xf numFmtId="44" fontId="7" fillId="15" borderId="39" xfId="5" applyNumberFormat="1" applyFont="1" applyFill="1" applyBorder="1" applyAlignment="1" applyProtection="1">
      <alignment horizontal="right" vertical="center"/>
    </xf>
    <xf numFmtId="44" fontId="7" fillId="15" borderId="40" xfId="5" applyNumberFormat="1" applyFont="1" applyFill="1" applyBorder="1" applyAlignment="1" applyProtection="1">
      <alignment horizontal="center" vertical="center"/>
    </xf>
    <xf numFmtId="0" fontId="11" fillId="15" borderId="27" xfId="5" applyFont="1" applyFill="1" applyBorder="1" applyAlignment="1" applyProtection="1">
      <alignment horizontal="left" vertical="center"/>
    </xf>
    <xf numFmtId="44" fontId="7" fillId="15" borderId="43" xfId="6" applyNumberFormat="1" applyFont="1" applyFill="1" applyBorder="1" applyAlignment="1" applyProtection="1">
      <alignment horizontal="center" vertical="center"/>
    </xf>
    <xf numFmtId="10" fontId="8" fillId="15" borderId="22" xfId="3" applyNumberFormat="1" applyFont="1" applyFill="1" applyBorder="1" applyAlignment="1" applyProtection="1">
      <alignment horizontal="center" vertical="center"/>
    </xf>
    <xf numFmtId="10" fontId="8" fillId="15" borderId="15" xfId="3" applyNumberFormat="1" applyFont="1" applyFill="1" applyBorder="1" applyAlignment="1" applyProtection="1">
      <alignment horizontal="center" vertical="center"/>
    </xf>
    <xf numFmtId="0" fontId="11" fillId="15" borderId="37" xfId="6" applyFont="1" applyFill="1" applyBorder="1" applyAlignment="1" applyProtection="1">
      <alignment horizontal="left" vertical="center"/>
    </xf>
    <xf numFmtId="10" fontId="7" fillId="15" borderId="39" xfId="6" applyNumberFormat="1" applyFont="1" applyFill="1" applyBorder="1" applyAlignment="1" applyProtection="1">
      <alignment horizontal="right" vertical="center"/>
    </xf>
    <xf numFmtId="0" fontId="11" fillId="15" borderId="27" xfId="6" applyFont="1" applyFill="1" applyBorder="1" applyAlignment="1" applyProtection="1">
      <alignment horizontal="left" vertical="center"/>
    </xf>
    <xf numFmtId="10" fontId="8" fillId="15" borderId="25" xfId="3" applyNumberFormat="1" applyFont="1" applyFill="1" applyBorder="1" applyAlignment="1" applyProtection="1">
      <alignment horizontal="center" vertical="center"/>
    </xf>
    <xf numFmtId="44" fontId="7" fillId="15" borderId="16" xfId="5" applyNumberFormat="1" applyFont="1" applyFill="1" applyBorder="1" applyAlignment="1" applyProtection="1">
      <alignment horizontal="center" vertical="center"/>
    </xf>
    <xf numFmtId="44" fontId="7" fillId="15" borderId="40" xfId="6" applyNumberFormat="1" applyFont="1" applyFill="1" applyBorder="1" applyAlignment="1" applyProtection="1">
      <alignment horizontal="right" vertical="center"/>
    </xf>
    <xf numFmtId="10" fontId="7" fillId="15" borderId="29" xfId="6" applyNumberFormat="1" applyFont="1" applyFill="1" applyBorder="1" applyAlignment="1" applyProtection="1">
      <alignment horizontal="right" vertical="center"/>
    </xf>
    <xf numFmtId="44" fontId="8" fillId="15" borderId="44" xfId="5" applyNumberFormat="1" applyFont="1" applyFill="1" applyBorder="1" applyAlignment="1" applyProtection="1">
      <alignment horizontal="center" vertical="center"/>
    </xf>
    <xf numFmtId="44" fontId="7" fillId="15" borderId="23" xfId="6" applyNumberFormat="1" applyFont="1" applyFill="1" applyBorder="1" applyAlignment="1" applyProtection="1">
      <alignment horizontal="right" vertical="center"/>
    </xf>
    <xf numFmtId="44" fontId="8" fillId="15" borderId="23" xfId="17" applyNumberFormat="1" applyFont="1" applyFill="1" applyBorder="1" applyAlignment="1" applyProtection="1">
      <alignment vertical="center"/>
    </xf>
    <xf numFmtId="44" fontId="8" fillId="15" borderId="3" xfId="8" applyNumberFormat="1" applyFont="1" applyFill="1" applyBorder="1" applyAlignment="1" applyProtection="1">
      <alignment horizontal="center" vertical="center"/>
    </xf>
    <xf numFmtId="44" fontId="8" fillId="15" borderId="0" xfId="4" applyNumberFormat="1" applyFont="1" applyFill="1" applyBorder="1" applyAlignment="1" applyProtection="1">
      <alignment horizontal="center" vertical="center"/>
    </xf>
    <xf numFmtId="0" fontId="8" fillId="15" borderId="9" xfId="18" applyFont="1" applyFill="1" applyBorder="1" applyAlignment="1" applyProtection="1">
      <alignment vertical="center"/>
    </xf>
    <xf numFmtId="0" fontId="8" fillId="15" borderId="45" xfId="0" applyFont="1" applyFill="1" applyBorder="1" applyAlignment="1" applyProtection="1">
      <alignment horizontal="center" vertical="center"/>
    </xf>
    <xf numFmtId="44" fontId="8" fillId="15" borderId="46" xfId="19" applyNumberFormat="1" applyFont="1" applyFill="1" applyBorder="1" applyAlignment="1" applyProtection="1">
      <alignment vertical="center"/>
    </xf>
    <xf numFmtId="0" fontId="8" fillId="15" borderId="4" xfId="18" applyFont="1" applyFill="1" applyBorder="1" applyAlignment="1" applyProtection="1">
      <alignment vertical="center"/>
    </xf>
    <xf numFmtId="0" fontId="8" fillId="15" borderId="5" xfId="3" applyNumberFormat="1" applyFont="1" applyFill="1" applyBorder="1" applyAlignment="1" applyProtection="1">
      <alignment horizontal="center" vertical="center"/>
    </xf>
    <xf numFmtId="44" fontId="8" fillId="15" borderId="5" xfId="17" applyNumberFormat="1" applyFont="1" applyFill="1" applyBorder="1" applyAlignment="1" applyProtection="1">
      <alignment vertical="center"/>
    </xf>
    <xf numFmtId="0" fontId="8" fillId="15" borderId="0" xfId="18" applyFont="1" applyFill="1" applyBorder="1" applyAlignment="1" applyProtection="1">
      <alignment vertical="center"/>
    </xf>
    <xf numFmtId="0" fontId="7" fillId="15" borderId="18" xfId="6" applyNumberFormat="1" applyFont="1" applyFill="1" applyBorder="1" applyAlignment="1" applyProtection="1">
      <alignment horizontal="center" vertical="center"/>
    </xf>
    <xf numFmtId="0" fontId="7" fillId="15" borderId="19" xfId="6" applyNumberFormat="1" applyFont="1" applyFill="1" applyBorder="1" applyAlignment="1" applyProtection="1">
      <alignment horizontal="center" vertical="center"/>
    </xf>
    <xf numFmtId="0" fontId="8" fillId="15" borderId="44" xfId="6" applyNumberFormat="1" applyFont="1" applyFill="1" applyBorder="1" applyAlignment="1" applyProtection="1">
      <alignment horizontal="center" vertical="center"/>
    </xf>
    <xf numFmtId="0" fontId="8" fillId="15" borderId="0" xfId="0" applyFont="1" applyFill="1" applyAlignment="1" applyProtection="1">
      <alignment vertical="center"/>
    </xf>
    <xf numFmtId="10" fontId="8" fillId="15" borderId="0" xfId="0" applyNumberFormat="1" applyFont="1" applyFill="1" applyAlignment="1" applyProtection="1">
      <alignment horizontal="right" vertical="center"/>
    </xf>
    <xf numFmtId="0" fontId="8" fillId="15" borderId="32" xfId="14" applyFont="1" applyFill="1" applyBorder="1" applyAlignment="1" applyProtection="1">
      <alignment vertical="center"/>
    </xf>
    <xf numFmtId="0" fontId="8" fillId="15" borderId="2" xfId="17" applyFont="1" applyFill="1" applyBorder="1" applyAlignment="1" applyProtection="1">
      <alignment horizontal="center" vertical="center"/>
    </xf>
    <xf numFmtId="0" fontId="8" fillId="15" borderId="3" xfId="17" applyFont="1" applyFill="1" applyBorder="1" applyAlignment="1" applyProtection="1">
      <alignment horizontal="left" vertical="center"/>
    </xf>
    <xf numFmtId="0" fontId="8" fillId="15" borderId="5" xfId="17" applyFont="1" applyFill="1" applyBorder="1" applyAlignment="1" applyProtection="1">
      <alignment vertical="center"/>
    </xf>
    <xf numFmtId="10" fontId="8" fillId="15" borderId="3" xfId="3" applyNumberFormat="1" applyFont="1" applyFill="1" applyBorder="1" applyAlignment="1" applyProtection="1">
      <alignment horizontal="center" vertical="center"/>
    </xf>
    <xf numFmtId="10" fontId="8" fillId="15" borderId="13" xfId="3" applyNumberFormat="1" applyFont="1" applyFill="1" applyBorder="1" applyAlignment="1" applyProtection="1">
      <alignment horizontal="center" vertical="center"/>
    </xf>
    <xf numFmtId="169" fontId="11" fillId="15" borderId="19" xfId="3" applyNumberFormat="1" applyFont="1" applyFill="1" applyBorder="1" applyAlignment="1" applyProtection="1">
      <alignment horizontal="center" vertical="center"/>
    </xf>
    <xf numFmtId="0" fontId="7" fillId="15" borderId="45" xfId="15" applyFont="1" applyFill="1" applyBorder="1" applyProtection="1"/>
    <xf numFmtId="0" fontId="8" fillId="15" borderId="0" xfId="0" applyFont="1" applyFill="1" applyProtection="1"/>
    <xf numFmtId="0" fontId="8" fillId="15" borderId="4" xfId="4" applyFont="1" applyFill="1" applyBorder="1" applyAlignment="1" applyProtection="1">
      <alignment horizontal="left" vertical="center"/>
    </xf>
    <xf numFmtId="0" fontId="8" fillId="15" borderId="4" xfId="0" applyFont="1" applyFill="1" applyBorder="1" applyAlignment="1" applyProtection="1">
      <alignment horizontal="left" vertical="center"/>
    </xf>
    <xf numFmtId="0" fontId="7" fillId="15" borderId="4" xfId="15" applyFont="1" applyFill="1" applyBorder="1" applyProtection="1"/>
    <xf numFmtId="0" fontId="8" fillId="15" borderId="20" xfId="17" applyFont="1" applyFill="1" applyBorder="1" applyAlignment="1" applyProtection="1">
      <alignment horizontal="center" vertical="center"/>
    </xf>
    <xf numFmtId="0" fontId="8" fillId="15" borderId="21" xfId="17" applyFont="1" applyFill="1" applyBorder="1" applyAlignment="1" applyProtection="1">
      <alignment horizontal="left" vertical="center"/>
    </xf>
    <xf numFmtId="0" fontId="8" fillId="15" borderId="3" xfId="17" applyFont="1" applyFill="1" applyBorder="1" applyAlignment="1" applyProtection="1">
      <alignment horizontal="center" vertical="center"/>
    </xf>
    <xf numFmtId="0" fontId="8" fillId="15" borderId="6" xfId="17" applyFont="1" applyFill="1" applyBorder="1" applyAlignment="1" applyProtection="1">
      <alignment horizontal="center" vertical="center"/>
    </xf>
    <xf numFmtId="0" fontId="7" fillId="15" borderId="0" xfId="0" applyFont="1" applyFill="1" applyAlignment="1" applyProtection="1">
      <alignment horizontal="center" vertical="center"/>
    </xf>
    <xf numFmtId="10" fontId="7" fillId="15" borderId="0" xfId="0" applyNumberFormat="1" applyFont="1" applyFill="1" applyAlignment="1" applyProtection="1">
      <alignment horizontal="right" vertical="center"/>
    </xf>
    <xf numFmtId="44" fontId="7" fillId="15" borderId="0" xfId="0" applyNumberFormat="1" applyFont="1" applyFill="1" applyAlignment="1" applyProtection="1">
      <alignment vertical="center"/>
    </xf>
    <xf numFmtId="0" fontId="7" fillId="0" borderId="0" xfId="0" applyFont="1" applyProtection="1"/>
    <xf numFmtId="0" fontId="8" fillId="16" borderId="14" xfId="20" applyFont="1" applyFill="1" applyBorder="1" applyAlignment="1" applyProtection="1">
      <alignment horizontal="center"/>
    </xf>
    <xf numFmtId="0" fontId="8" fillId="16" borderId="13" xfId="20" applyFont="1" applyFill="1" applyBorder="1" applyAlignment="1" applyProtection="1">
      <alignment horizontal="center"/>
    </xf>
    <xf numFmtId="0" fontId="8" fillId="16" borderId="15" xfId="20" applyFont="1" applyFill="1" applyBorder="1" applyAlignment="1" applyProtection="1">
      <alignment horizontal="center"/>
    </xf>
    <xf numFmtId="0" fontId="8" fillId="16" borderId="12" xfId="20" applyFont="1" applyFill="1" applyBorder="1" applyAlignment="1" applyProtection="1">
      <alignment horizontal="center"/>
    </xf>
    <xf numFmtId="0" fontId="8" fillId="16" borderId="0" xfId="20" applyFont="1" applyFill="1" applyAlignment="1" applyProtection="1">
      <alignment horizontal="center"/>
    </xf>
    <xf numFmtId="0" fontId="8" fillId="16" borderId="25" xfId="20" applyFont="1" applyFill="1" applyBorder="1" applyAlignment="1" applyProtection="1">
      <alignment horizontal="center"/>
    </xf>
    <xf numFmtId="0" fontId="8" fillId="16" borderId="20" xfId="20" applyFont="1" applyFill="1" applyBorder="1" applyAlignment="1" applyProtection="1">
      <alignment horizontal="center"/>
    </xf>
    <xf numFmtId="0" fontId="8" fillId="16" borderId="21" xfId="20" applyFont="1" applyFill="1" applyBorder="1" applyAlignment="1" applyProtection="1">
      <alignment horizontal="center"/>
    </xf>
    <xf numFmtId="0" fontId="8" fillId="16" borderId="22" xfId="20" applyFont="1" applyFill="1" applyBorder="1" applyAlignment="1" applyProtection="1">
      <alignment horizontal="center"/>
    </xf>
    <xf numFmtId="0" fontId="7" fillId="15" borderId="0" xfId="0" applyFont="1" applyFill="1" applyAlignment="1" applyProtection="1">
      <alignment horizontal="center" vertical="top"/>
    </xf>
    <xf numFmtId="0" fontId="8" fillId="15" borderId="6" xfId="0" applyFont="1" applyFill="1" applyBorder="1" applyAlignment="1" applyProtection="1">
      <alignment vertical="center"/>
    </xf>
    <xf numFmtId="0" fontId="8" fillId="15" borderId="6" xfId="0" applyFont="1" applyFill="1" applyBorder="1" applyAlignment="1" applyProtection="1">
      <alignment horizontal="left" vertical="center"/>
    </xf>
    <xf numFmtId="170" fontId="7" fillId="15" borderId="6" xfId="0" applyNumberFormat="1" applyFont="1" applyFill="1" applyBorder="1" applyAlignment="1" applyProtection="1">
      <alignment horizontal="center"/>
    </xf>
    <xf numFmtId="0" fontId="7" fillId="15" borderId="6" xfId="1" applyNumberFormat="1" applyFont="1" applyFill="1" applyBorder="1" applyAlignment="1" applyProtection="1">
      <alignment horizontal="center" vertical="center" wrapText="1"/>
    </xf>
    <xf numFmtId="0" fontId="7" fillId="15" borderId="6" xfId="0" applyFont="1" applyFill="1" applyBorder="1" applyAlignment="1" applyProtection="1">
      <alignment horizontal="center" vertical="center"/>
    </xf>
    <xf numFmtId="0" fontId="8" fillId="15" borderId="6" xfId="0" applyFont="1" applyFill="1" applyBorder="1" applyAlignment="1" applyProtection="1">
      <alignment vertical="top" wrapText="1"/>
    </xf>
    <xf numFmtId="0" fontId="8" fillId="15" borderId="2" xfId="0" applyFont="1" applyFill="1" applyBorder="1" applyAlignment="1" applyProtection="1">
      <alignment horizontal="center" vertical="center"/>
    </xf>
    <xf numFmtId="0" fontId="8" fillId="15" borderId="3" xfId="0" applyFont="1" applyFill="1" applyBorder="1" applyAlignment="1" applyProtection="1">
      <alignment horizontal="center" vertical="center"/>
    </xf>
    <xf numFmtId="0" fontId="8" fillId="15" borderId="5" xfId="0" applyFont="1" applyFill="1" applyBorder="1" applyAlignment="1" applyProtection="1">
      <alignment horizontal="center" vertical="center"/>
    </xf>
    <xf numFmtId="0" fontId="7" fillId="15" borderId="6" xfId="2" applyNumberFormat="1" applyFont="1" applyFill="1" applyBorder="1" applyAlignment="1" applyProtection="1">
      <alignment horizontal="center" vertical="center" wrapText="1"/>
    </xf>
    <xf numFmtId="0" fontId="7" fillId="15" borderId="6" xfId="2" applyNumberFormat="1" applyFont="1" applyFill="1" applyBorder="1" applyAlignment="1" applyProtection="1">
      <alignment horizontal="center" vertical="center"/>
    </xf>
    <xf numFmtId="0" fontId="8" fillId="15" borderId="0" xfId="0" applyFont="1" applyFill="1" applyAlignment="1" applyProtection="1">
      <alignment horizontal="justify" vertical="center" wrapText="1"/>
    </xf>
    <xf numFmtId="0" fontId="8" fillId="15" borderId="2" xfId="0" applyFont="1" applyFill="1" applyBorder="1" applyAlignment="1" applyProtection="1">
      <alignment horizontal="center"/>
    </xf>
    <xf numFmtId="0" fontId="8" fillId="15" borderId="3" xfId="0" applyFont="1" applyFill="1" applyBorder="1" applyAlignment="1" applyProtection="1">
      <alignment horizontal="center"/>
    </xf>
    <xf numFmtId="0" fontId="8" fillId="15" borderId="5" xfId="0" applyFont="1" applyFill="1" applyBorder="1" applyAlignment="1" applyProtection="1">
      <alignment horizontal="center"/>
    </xf>
    <xf numFmtId="0" fontId="8" fillId="15" borderId="6" xfId="0" applyFont="1" applyFill="1" applyBorder="1" applyAlignment="1" applyProtection="1">
      <alignment horizontal="left" vertical="center"/>
    </xf>
    <xf numFmtId="0" fontId="8" fillId="15" borderId="6" xfId="0" applyFont="1" applyFill="1" applyBorder="1" applyAlignment="1" applyProtection="1">
      <alignment horizontal="center" vertical="center"/>
    </xf>
    <xf numFmtId="0" fontId="8" fillId="15" borderId="6" xfId="0" applyFont="1" applyFill="1" applyBorder="1" applyAlignment="1" applyProtection="1">
      <alignment horizontal="center" vertical="center" wrapText="1"/>
    </xf>
    <xf numFmtId="0" fontId="7" fillId="15" borderId="6" xfId="0" applyFont="1" applyFill="1" applyBorder="1" applyAlignment="1" applyProtection="1">
      <alignment horizontal="left" vertical="center" wrapText="1"/>
    </xf>
    <xf numFmtId="4" fontId="7" fillId="15" borderId="6" xfId="2" applyNumberFormat="1" applyFont="1" applyFill="1" applyBorder="1" applyAlignment="1" applyProtection="1">
      <alignment horizontal="center" vertical="center" wrapText="1"/>
    </xf>
    <xf numFmtId="1" fontId="7" fillId="15" borderId="6" xfId="2" applyNumberFormat="1" applyFont="1" applyFill="1" applyBorder="1" applyAlignment="1" applyProtection="1">
      <alignment horizontal="center" vertical="center" wrapText="1"/>
    </xf>
    <xf numFmtId="44" fontId="7" fillId="15" borderId="6" xfId="2" applyFont="1" applyFill="1" applyBorder="1" applyAlignment="1" applyProtection="1">
      <alignment horizontal="center" vertical="center" wrapText="1"/>
    </xf>
    <xf numFmtId="44" fontId="7" fillId="15" borderId="6" xfId="2" applyFont="1" applyFill="1" applyBorder="1" applyAlignment="1" applyProtection="1">
      <alignment vertical="center" wrapText="1"/>
    </xf>
    <xf numFmtId="44" fontId="7" fillId="0" borderId="0" xfId="0" applyNumberFormat="1" applyFont="1" applyProtection="1"/>
    <xf numFmtId="0" fontId="8" fillId="15" borderId="6" xfId="0" applyFont="1" applyFill="1" applyBorder="1" applyProtection="1"/>
    <xf numFmtId="1" fontId="8" fillId="15" borderId="6" xfId="0" applyNumberFormat="1" applyFont="1" applyFill="1" applyBorder="1" applyAlignment="1" applyProtection="1">
      <alignment horizontal="center" vertical="center"/>
    </xf>
    <xf numFmtId="44" fontId="8" fillId="15" borderId="6" xfId="2" applyFont="1" applyFill="1" applyBorder="1" applyAlignment="1" applyProtection="1">
      <alignment horizontal="center" vertical="center" wrapText="1"/>
    </xf>
    <xf numFmtId="44" fontId="7" fillId="0" borderId="0" xfId="2" applyFont="1" applyProtection="1"/>
    <xf numFmtId="0" fontId="10" fillId="0" borderId="0" xfId="0" applyFont="1" applyProtection="1"/>
    <xf numFmtId="1" fontId="7" fillId="17" borderId="6" xfId="2" applyNumberFormat="1" applyFont="1" applyFill="1" applyBorder="1" applyAlignment="1" applyProtection="1">
      <alignment horizontal="center" vertical="center" wrapText="1"/>
      <protection locked="0"/>
    </xf>
    <xf numFmtId="49" fontId="12" fillId="15" borderId="6" xfId="0" applyNumberFormat="1" applyFont="1" applyFill="1" applyBorder="1" applyAlignment="1" applyProtection="1">
      <alignment horizontal="center" vertical="center" wrapText="1"/>
    </xf>
    <xf numFmtId="0" fontId="3" fillId="15" borderId="6" xfId="14" applyFill="1" applyBorder="1" applyAlignment="1" applyProtection="1">
      <alignment horizontal="center" vertical="center"/>
    </xf>
  </cellXfs>
  <cellStyles count="21">
    <cellStyle name="20% - Ênfase1" xfId="5" builtinId="30"/>
    <cellStyle name="20% - Ênfase5" xfId="9" builtinId="46"/>
    <cellStyle name="20% - Ênfase6" xfId="12" builtinId="50"/>
    <cellStyle name="40% - Ênfase1" xfId="6" builtinId="31"/>
    <cellStyle name="40% - Ênfase5" xfId="10" builtinId="47"/>
    <cellStyle name="40% - Ênfase6" xfId="13" builtinId="51"/>
    <cellStyle name="60% - Ênfase1" xfId="7" builtinId="32"/>
    <cellStyle name="60% - Ênfase4 2" xfId="18"/>
    <cellStyle name="60% - Ênfase5 2" xfId="17"/>
    <cellStyle name="60% - Ênfase6 2" xfId="19"/>
    <cellStyle name="Ênfase1" xfId="4" builtinId="29"/>
    <cellStyle name="Ênfase5" xfId="8" builtinId="45"/>
    <cellStyle name="Ênfase6" xfId="11" builtinId="49"/>
    <cellStyle name="Hiperlink" xfId="14" builtinId="8"/>
    <cellStyle name="Moeda" xfId="2" builtinId="4"/>
    <cellStyle name="Normal" xfId="0" builtinId="0"/>
    <cellStyle name="Normal 10" xfId="16"/>
    <cellStyle name="Normal 2" xfId="15"/>
    <cellStyle name="Normal 5" xfId="20"/>
    <cellStyle name="Porcentagem" xfId="3" builtinId="5"/>
    <cellStyle name="Vírgula" xfId="1" builtinId="3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re.machry/Desktop/MODELO_PLANILHA_SINDASSE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MPRESAS\PRIME\LICITA&#199;&#213;ES\RIO%20GRANDE%20DO%20SUL\01.%20PROPOSTA\PROPO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tes"/>
      <sheetName val="Base Apoio - etapa 1"/>
      <sheetName val="PC 12x36 - DIURNO"/>
      <sheetName val="PC 12x36 - NOTURNO"/>
      <sheetName val="PC 44H-6D"/>
      <sheetName val="PC 44H-5D"/>
      <sheetName val="PC 36H"/>
      <sheetName val="PC 30H"/>
      <sheetName val="RESUMO"/>
      <sheetName val="Apoio - Regime de Trabalho"/>
      <sheetName val="Apoio - Posto"/>
    </sheetNames>
    <sheetDataSet>
      <sheetData sheetId="0" refreshError="1">
        <row r="1">
          <cell r="A1" t="str">
            <v>Sim</v>
          </cell>
          <cell r="C1">
            <v>0.1</v>
          </cell>
        </row>
        <row r="2">
          <cell r="A2" t="str">
            <v>Não</v>
          </cell>
          <cell r="C2">
            <v>0.2</v>
          </cell>
        </row>
        <row r="3">
          <cell r="C3">
            <v>0.4</v>
          </cell>
          <cell r="F3" t="str">
            <v>Unidade</v>
          </cell>
        </row>
        <row r="4">
          <cell r="F4" t="str">
            <v>Litro</v>
          </cell>
        </row>
        <row r="5">
          <cell r="F5" t="str">
            <v>Fardo</v>
          </cell>
        </row>
        <row r="6">
          <cell r="F6" t="str">
            <v>Galão</v>
          </cell>
        </row>
        <row r="7">
          <cell r="F7" t="str">
            <v>Lata</v>
          </cell>
        </row>
        <row r="8">
          <cell r="F8" t="str">
            <v>Pacote</v>
          </cell>
        </row>
        <row r="9">
          <cell r="F9" t="str">
            <v>Caixa</v>
          </cell>
        </row>
      </sheetData>
      <sheetData sheetId="1" refreshError="1">
        <row r="8">
          <cell r="G8" t="str">
            <v>SINDASSEIO</v>
          </cell>
        </row>
        <row r="20">
          <cell r="F20" t="str">
            <v>Lucro Presumido</v>
          </cell>
          <cell r="G20" t="str">
            <v>Lucro Real</v>
          </cell>
          <cell r="H20" t="str">
            <v>Simples Nacional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ão de Obra"/>
      <sheetName val="Produtividade"/>
      <sheetName val="Veículos"/>
      <sheetName val="Mat Individual e Uniformes func"/>
      <sheetName val="Mat Coletivo e Equipamentos"/>
      <sheetName val="Proposta"/>
      <sheetName val="Apoio - Regime de Trabalho"/>
      <sheetName val="Apoio - Notas Explicativas"/>
      <sheetName val="Apoio - Posto"/>
      <sheetName val="Apoio - Dados"/>
    </sheetNames>
    <sheetDataSet>
      <sheetData sheetId="0">
        <row r="5">
          <cell r="D5" t="str">
            <v>SECRETARIA DE ADMINISTRAÇÃO E PATRIMÔNIO</v>
          </cell>
        </row>
        <row r="11">
          <cell r="D11" t="str">
            <v>Mês</v>
          </cell>
        </row>
        <row r="12">
          <cell r="D12">
            <v>6</v>
          </cell>
        </row>
        <row r="17">
          <cell r="E17" t="str">
            <v>Posto A</v>
          </cell>
          <cell r="F17" t="str">
            <v>Posto B</v>
          </cell>
        </row>
        <row r="18">
          <cell r="E18" t="str">
            <v>Carregador (Armazém)</v>
          </cell>
          <cell r="F18" t="str">
            <v>Carregador (Armazém) sábado e domingo</v>
          </cell>
        </row>
        <row r="26">
          <cell r="E26" t="str">
            <v>40h (5 dia/sem)</v>
          </cell>
          <cell r="F26" t="str">
            <v>16h (2 dia/sem)</v>
          </cell>
        </row>
      </sheetData>
      <sheetData sheetId="1">
        <row r="11">
          <cell r="D11" t="str">
            <v>Mês</v>
          </cell>
        </row>
        <row r="12">
          <cell r="D12">
            <v>12</v>
          </cell>
        </row>
        <row r="17">
          <cell r="E17" t="str">
            <v>Aux. Limpeza</v>
          </cell>
          <cell r="F17" t="str">
            <v>Sup. Limpeza</v>
          </cell>
        </row>
        <row r="203">
          <cell r="L203" t="str">
            <v>Área mensal</v>
          </cell>
        </row>
        <row r="211">
          <cell r="L211" t="str">
            <v>Área mensal</v>
          </cell>
        </row>
        <row r="216">
          <cell r="L216" t="str">
            <v>Área mensal</v>
          </cell>
        </row>
        <row r="219">
          <cell r="L219" t="str">
            <v>Área mensal</v>
          </cell>
        </row>
      </sheetData>
      <sheetData sheetId="2">
        <row r="74">
          <cell r="E74" t="str">
            <v/>
          </cell>
        </row>
      </sheetData>
      <sheetData sheetId="3">
        <row r="26">
          <cell r="H26">
            <v>148.91</v>
          </cell>
        </row>
      </sheetData>
      <sheetData sheetId="4">
        <row r="3">
          <cell r="H3" t="str">
            <v>Quantidade contratual</v>
          </cell>
        </row>
      </sheetData>
      <sheetData sheetId="5">
        <row r="6">
          <cell r="J6">
            <v>6</v>
          </cell>
        </row>
      </sheetData>
      <sheetData sheetId="6">
        <row r="1">
          <cell r="A1" t="str">
            <v>Regime</v>
          </cell>
          <cell r="B1" t="str">
            <v>Funcionários por posto</v>
          </cell>
          <cell r="C1" t="str">
            <v>Contratação</v>
          </cell>
          <cell r="D1" t="str">
            <v>Horas noturnas Máximas</v>
          </cell>
          <cell r="E1" t="str">
            <v>Dias Semana</v>
          </cell>
          <cell r="F1" t="str">
            <v>Horas Semana</v>
          </cell>
          <cell r="G1" t="str">
            <v>Dias Mês</v>
          </cell>
          <cell r="H1" t="str">
            <v>Horas mês remuneradas</v>
          </cell>
          <cell r="I1" t="str">
            <v>Horas mês trabalhadas</v>
          </cell>
        </row>
        <row r="3">
          <cell r="A3" t="str">
            <v>12x36 Diurno</v>
          </cell>
          <cell r="B3">
            <v>2</v>
          </cell>
          <cell r="C3" t="str">
            <v>Mensal</v>
          </cell>
          <cell r="D3">
            <v>7</v>
          </cell>
          <cell r="E3" t="str">
            <v>-</v>
          </cell>
          <cell r="G3">
            <v>15</v>
          </cell>
          <cell r="H3">
            <v>220</v>
          </cell>
          <cell r="I3">
            <v>180</v>
          </cell>
        </row>
        <row r="4">
          <cell r="A4" t="str">
            <v>12x36 Noturno</v>
          </cell>
          <cell r="B4">
            <v>2</v>
          </cell>
          <cell r="C4" t="str">
            <v>Mensal</v>
          </cell>
          <cell r="D4">
            <v>7</v>
          </cell>
          <cell r="E4" t="str">
            <v>-</v>
          </cell>
          <cell r="G4">
            <v>15</v>
          </cell>
          <cell r="H4">
            <v>220</v>
          </cell>
          <cell r="I4">
            <v>180</v>
          </cell>
        </row>
        <row r="5">
          <cell r="A5" t="str">
            <v>4h (1 dia/sem)</v>
          </cell>
          <cell r="B5">
            <v>1</v>
          </cell>
          <cell r="C5" t="str">
            <v>Mensal</v>
          </cell>
          <cell r="E5">
            <v>1</v>
          </cell>
          <cell r="F5">
            <v>4</v>
          </cell>
          <cell r="G5">
            <v>4</v>
          </cell>
          <cell r="H5">
            <v>20</v>
          </cell>
          <cell r="I5">
            <v>16</v>
          </cell>
        </row>
        <row r="6">
          <cell r="A6" t="str">
            <v>6h (1 dia/sem)</v>
          </cell>
          <cell r="B6">
            <v>1</v>
          </cell>
          <cell r="C6" t="str">
            <v>Mensal</v>
          </cell>
          <cell r="E6">
            <v>1</v>
          </cell>
          <cell r="F6">
            <v>6</v>
          </cell>
          <cell r="G6">
            <v>4</v>
          </cell>
          <cell r="H6">
            <v>30</v>
          </cell>
          <cell r="I6">
            <v>24</v>
          </cell>
        </row>
        <row r="7">
          <cell r="A7" t="str">
            <v>8h (1 dia/sem)</v>
          </cell>
          <cell r="B7">
            <v>1</v>
          </cell>
          <cell r="C7" t="str">
            <v>Mensal</v>
          </cell>
          <cell r="E7">
            <v>1</v>
          </cell>
          <cell r="F7">
            <v>8</v>
          </cell>
          <cell r="G7">
            <v>4</v>
          </cell>
          <cell r="H7">
            <v>40</v>
          </cell>
          <cell r="I7">
            <v>32</v>
          </cell>
        </row>
        <row r="8">
          <cell r="A8" t="str">
            <v>16h (2 dia/sem)</v>
          </cell>
          <cell r="B8">
            <v>1</v>
          </cell>
          <cell r="C8" t="str">
            <v>Mensal</v>
          </cell>
          <cell r="E8">
            <v>2</v>
          </cell>
          <cell r="F8">
            <v>16</v>
          </cell>
          <cell r="G8">
            <v>8</v>
          </cell>
          <cell r="H8">
            <v>80</v>
          </cell>
          <cell r="I8">
            <v>64</v>
          </cell>
        </row>
        <row r="9">
          <cell r="A9" t="str">
            <v>20h (5 dia/sem)</v>
          </cell>
          <cell r="B9">
            <v>1</v>
          </cell>
          <cell r="C9" t="str">
            <v>Mensal</v>
          </cell>
          <cell r="D9">
            <v>10</v>
          </cell>
          <cell r="E9">
            <v>5</v>
          </cell>
          <cell r="F9">
            <v>20</v>
          </cell>
          <cell r="G9">
            <v>22</v>
          </cell>
          <cell r="H9">
            <v>100</v>
          </cell>
          <cell r="I9">
            <v>88</v>
          </cell>
        </row>
        <row r="10">
          <cell r="A10" t="str">
            <v>30h (5 dia/sem)</v>
          </cell>
          <cell r="B10">
            <v>1</v>
          </cell>
          <cell r="C10" t="str">
            <v>Mensal</v>
          </cell>
          <cell r="D10">
            <v>10</v>
          </cell>
          <cell r="E10">
            <v>5</v>
          </cell>
          <cell r="F10">
            <v>30</v>
          </cell>
          <cell r="G10">
            <v>22</v>
          </cell>
          <cell r="H10">
            <v>150</v>
          </cell>
          <cell r="I10">
            <v>132</v>
          </cell>
        </row>
        <row r="11">
          <cell r="A11" t="str">
            <v>35h (5 dia/sem)</v>
          </cell>
          <cell r="B11">
            <v>1</v>
          </cell>
          <cell r="C11" t="str">
            <v>Mensal</v>
          </cell>
          <cell r="E11">
            <v>5</v>
          </cell>
          <cell r="F11">
            <v>35</v>
          </cell>
          <cell r="G11">
            <v>22</v>
          </cell>
          <cell r="H11">
            <v>175</v>
          </cell>
          <cell r="I11">
            <v>154</v>
          </cell>
        </row>
        <row r="12">
          <cell r="A12" t="str">
            <v>36h (6 dia/sem)</v>
          </cell>
          <cell r="B12">
            <v>1</v>
          </cell>
          <cell r="C12" t="str">
            <v>Mensal</v>
          </cell>
          <cell r="D12">
            <v>10</v>
          </cell>
          <cell r="E12">
            <v>6</v>
          </cell>
          <cell r="F12">
            <v>36</v>
          </cell>
          <cell r="G12">
            <v>26</v>
          </cell>
          <cell r="H12">
            <v>180</v>
          </cell>
          <cell r="I12">
            <v>156</v>
          </cell>
        </row>
        <row r="13">
          <cell r="A13" t="str">
            <v>40h (5 dia/sem)</v>
          </cell>
          <cell r="B13">
            <v>1</v>
          </cell>
          <cell r="C13" t="str">
            <v>Mensal</v>
          </cell>
          <cell r="D13">
            <v>10</v>
          </cell>
          <cell r="E13">
            <v>5</v>
          </cell>
          <cell r="F13">
            <v>40</v>
          </cell>
          <cell r="G13">
            <v>22</v>
          </cell>
          <cell r="H13">
            <v>200</v>
          </cell>
          <cell r="I13">
            <v>176</v>
          </cell>
        </row>
        <row r="14">
          <cell r="A14" t="str">
            <v>44h (5 dia/sem)</v>
          </cell>
          <cell r="B14">
            <v>1</v>
          </cell>
          <cell r="C14" t="str">
            <v>Mensal</v>
          </cell>
          <cell r="D14">
            <v>10</v>
          </cell>
          <cell r="E14">
            <v>5</v>
          </cell>
          <cell r="F14">
            <v>44</v>
          </cell>
          <cell r="G14">
            <v>22</v>
          </cell>
          <cell r="H14">
            <v>220</v>
          </cell>
          <cell r="I14">
            <v>192</v>
          </cell>
        </row>
        <row r="15">
          <cell r="A15" t="str">
            <v>44h (6 dia/sem)</v>
          </cell>
          <cell r="B15">
            <v>1</v>
          </cell>
          <cell r="C15" t="str">
            <v>Mensal</v>
          </cell>
          <cell r="D15">
            <v>10</v>
          </cell>
          <cell r="E15">
            <v>6</v>
          </cell>
          <cell r="F15">
            <v>44</v>
          </cell>
          <cell r="G15">
            <v>26</v>
          </cell>
          <cell r="H15">
            <v>220</v>
          </cell>
          <cell r="I15">
            <v>192</v>
          </cell>
        </row>
      </sheetData>
      <sheetData sheetId="7">
        <row r="2">
          <cell r="C2" t="str">
            <v>Composição da Remuneração</v>
          </cell>
        </row>
        <row r="3">
          <cell r="C3" t="str">
            <v>Dias na Semana</v>
          </cell>
        </row>
        <row r="4">
          <cell r="C4" t="str">
            <v>Dias no Ano</v>
          </cell>
        </row>
        <row r="5">
          <cell r="C5" t="str">
            <v>Dias no Mês</v>
          </cell>
        </row>
        <row r="6">
          <cell r="C6" t="str">
            <v>Semanas no Mês</v>
          </cell>
        </row>
        <row r="7">
          <cell r="C7" t="str">
            <v>Semanas no Ano</v>
          </cell>
        </row>
        <row r="8">
          <cell r="C8" t="str">
            <v xml:space="preserve">Meses no Ano </v>
          </cell>
        </row>
        <row r="9">
          <cell r="C9" t="str">
            <v>Hora Normal (em minutos)</v>
          </cell>
          <cell r="D9">
            <v>60</v>
          </cell>
        </row>
        <row r="10">
          <cell r="C10" t="str">
            <v>Hora Noturna (em minutos)</v>
          </cell>
          <cell r="D10">
            <v>52.5</v>
          </cell>
        </row>
        <row r="13">
          <cell r="Q13" t="str">
            <v>Considerado</v>
          </cell>
        </row>
        <row r="15">
          <cell r="C15" t="str">
            <v>Faturamento máximo</v>
          </cell>
          <cell r="Q15" t="str">
            <v>Lucro Presumido</v>
          </cell>
        </row>
        <row r="16">
          <cell r="C16" t="str">
            <v>Valor a Deduzir</v>
          </cell>
          <cell r="Q16" t="str">
            <v/>
          </cell>
        </row>
        <row r="17">
          <cell r="C17" t="str">
            <v xml:space="preserve">Percentual da faixa </v>
          </cell>
        </row>
        <row r="19">
          <cell r="C19" t="str">
            <v>MÓDULO 1: COMPOSIÇÃO DA REMUNERAÇÃO</v>
          </cell>
        </row>
        <row r="20">
          <cell r="C20" t="str">
            <v xml:space="preserve">Salário Base Mensal </v>
          </cell>
        </row>
        <row r="21">
          <cell r="C21" t="str">
            <v xml:space="preserve">Adicional Periculosidade </v>
          </cell>
        </row>
        <row r="22">
          <cell r="C22" t="str">
            <v xml:space="preserve">Adicional Insalubridade </v>
          </cell>
        </row>
        <row r="23">
          <cell r="C23" t="str">
            <v>Gratificação de Função</v>
          </cell>
        </row>
        <row r="24">
          <cell r="C24" t="str">
            <v xml:space="preserve">Adicional Noturno </v>
          </cell>
        </row>
        <row r="25">
          <cell r="C25" t="str">
            <v>Adicional de Hora Noturna Reduzida</v>
          </cell>
        </row>
        <row r="26">
          <cell r="C26" t="str">
            <v>Horas Extras (com adicionais)</v>
          </cell>
        </row>
        <row r="27">
          <cell r="C27" t="str">
            <v>Descanso Semanal Remunerado</v>
          </cell>
        </row>
        <row r="28">
          <cell r="C28" t="str">
            <v xml:space="preserve">Adicional de Troca de Uniforme </v>
          </cell>
        </row>
        <row r="29">
          <cell r="C29" t="str">
            <v>Outras remunerações  (especificar)</v>
          </cell>
        </row>
        <row r="31">
          <cell r="C31" t="str">
            <v>MÓDULO 2 - ENCARGOS E BENEFÍCIOS ANUAIS, MENSAIS E DIÁRIOS</v>
          </cell>
        </row>
        <row r="33">
          <cell r="C33" t="str">
            <v>SUBMÓDULO 2.1 - 13º Salário, Férias e Adicional de Férias</v>
          </cell>
        </row>
        <row r="34">
          <cell r="C34" t="str">
            <v>13º salário</v>
          </cell>
          <cell r="Q34">
            <v>8.3299999999999999E-2</v>
          </cell>
        </row>
        <row r="35">
          <cell r="C35" t="str">
            <v xml:space="preserve">Férias e Adicional de Férias </v>
          </cell>
          <cell r="Q35">
            <v>0.1111</v>
          </cell>
        </row>
        <row r="36">
          <cell r="C36" t="str">
            <v>Incidência no Submódulo 2.2 sobre 13º salário e Férias</v>
          </cell>
          <cell r="Q36">
            <v>7.1599999999999997E-2</v>
          </cell>
        </row>
        <row r="38">
          <cell r="C38" t="str">
            <v xml:space="preserve">SUBMÓDULO 2.2- Encargos Previdenciários (GPS) e FGTS </v>
          </cell>
        </row>
        <row r="39">
          <cell r="C39" t="str">
            <v>INSS</v>
          </cell>
          <cell r="Q39">
            <v>0.2</v>
          </cell>
        </row>
        <row r="40">
          <cell r="C40" t="str">
            <v>SESI OU SESC</v>
          </cell>
          <cell r="Q40">
            <v>1.4999999999999999E-2</v>
          </cell>
        </row>
        <row r="41">
          <cell r="C41" t="str">
            <v>SENAI OU SENAC</v>
          </cell>
          <cell r="Q41">
            <v>0.01</v>
          </cell>
        </row>
        <row r="42">
          <cell r="C42" t="str">
            <v>INCRA</v>
          </cell>
          <cell r="Q42">
            <v>2E-3</v>
          </cell>
        </row>
        <row r="43">
          <cell r="C43" t="str">
            <v>Salário educação</v>
          </cell>
          <cell r="Q43">
            <v>2.5000000000000001E-2</v>
          </cell>
        </row>
        <row r="44">
          <cell r="C44" t="str">
            <v>FGTS</v>
          </cell>
          <cell r="Q44">
            <v>0.08</v>
          </cell>
        </row>
        <row r="45">
          <cell r="C45" t="str">
            <v>GILL/RAT (RAT 0,03 x FAP 1)</v>
          </cell>
          <cell r="Q45">
            <v>0.03</v>
          </cell>
        </row>
        <row r="46">
          <cell r="C46" t="str">
            <v>RAT</v>
          </cell>
          <cell r="Q46">
            <v>0.03</v>
          </cell>
        </row>
        <row r="47">
          <cell r="C47" t="str">
            <v>FAP</v>
          </cell>
          <cell r="Q47">
            <v>1</v>
          </cell>
        </row>
        <row r="48">
          <cell r="C48" t="str">
            <v>SEBRAE</v>
          </cell>
          <cell r="Q48">
            <v>6.0000000000000001E-3</v>
          </cell>
        </row>
        <row r="49">
          <cell r="Q49">
            <v>0.36799999999999999</v>
          </cell>
        </row>
        <row r="51">
          <cell r="C51" t="str">
            <v>SUBMÓDULO 2.3 - Encargos e Benefícios Anuais, Mensais e Diários</v>
          </cell>
        </row>
        <row r="52">
          <cell r="C52" t="str">
            <v xml:space="preserve">Auxílio Transporte                                                   </v>
          </cell>
        </row>
        <row r="53">
          <cell r="C53" t="str">
            <v xml:space="preserve">Auxílio-Refeição/Alimentação   </v>
          </cell>
        </row>
        <row r="54">
          <cell r="C54" t="str">
            <v xml:space="preserve">Assistência Médica e Familiar </v>
          </cell>
        </row>
        <row r="55">
          <cell r="C55" t="str">
            <v xml:space="preserve">Seguro de vida em grupo  </v>
          </cell>
        </row>
        <row r="56">
          <cell r="C56" t="str">
            <v xml:space="preserve">Auxílio-Funeral    </v>
          </cell>
        </row>
        <row r="57">
          <cell r="C57" t="str">
            <v xml:space="preserve">Cesta Básica  </v>
          </cell>
        </row>
        <row r="58">
          <cell r="C58" t="str">
            <v xml:space="preserve">Plano de Benefício Social Familiar </v>
          </cell>
        </row>
        <row r="59">
          <cell r="C59" t="str">
            <v>Outros (especificar)</v>
          </cell>
        </row>
        <row r="61">
          <cell r="C61" t="str">
            <v>MÓDULO 3 - PROVISÃO PARA RESCISÃO</v>
          </cell>
        </row>
        <row r="63">
          <cell r="C63" t="str">
            <v>Dados Estatísticos</v>
          </cell>
        </row>
        <row r="64">
          <cell r="C64" t="str">
            <v>Funcionários demitidos sem justa causa / Total de desligamentos (em %)</v>
          </cell>
          <cell r="Q64">
            <v>0.05</v>
          </cell>
        </row>
        <row r="65">
          <cell r="C65" t="str">
            <v>FGTS</v>
          </cell>
          <cell r="Q65">
            <v>0.08</v>
          </cell>
        </row>
        <row r="66">
          <cell r="C66" t="str">
            <v>Multa do FGTS (em %)</v>
          </cell>
          <cell r="Q66">
            <v>0.4</v>
          </cell>
        </row>
        <row r="67">
          <cell r="C67" t="str">
            <v>Empregados que recebem aviso prévio trabalhado durante o contrato (em %)</v>
          </cell>
          <cell r="Q67">
            <v>0.02</v>
          </cell>
        </row>
        <row r="68">
          <cell r="C68" t="str">
            <v>Empregados que recebem aviso prévio trabalhadono final  do contrato (em %)</v>
          </cell>
          <cell r="Q68">
            <v>1</v>
          </cell>
        </row>
        <row r="69">
          <cell r="C69" t="str">
            <v>Dias APT pagos</v>
          </cell>
          <cell r="Q69">
            <v>7</v>
          </cell>
        </row>
        <row r="71">
          <cell r="C71" t="str">
            <v>PROVISÃO PARA RESCISÃO</v>
          </cell>
        </row>
        <row r="72">
          <cell r="C72" t="str">
            <v>Aviso prévio indenizado</v>
          </cell>
          <cell r="Q72">
            <v>4.1999999999999997E-3</v>
          </cell>
        </row>
        <row r="73">
          <cell r="C73" t="str">
            <v xml:space="preserve">Incidência do FGTS sobre Aviso Prévio indenizado </v>
          </cell>
          <cell r="Q73">
            <v>2.9999999999999997E-4</v>
          </cell>
        </row>
        <row r="74">
          <cell r="C74" t="str">
            <v xml:space="preserve">Incidência da Multa e CS s/ FGTS incidente no API </v>
          </cell>
          <cell r="Q74">
            <v>1E-4</v>
          </cell>
        </row>
        <row r="75">
          <cell r="C75" t="str">
            <v xml:space="preserve">Aviso prévio trabalhado  </v>
          </cell>
          <cell r="Q75">
            <v>1.9800000000000002E-2</v>
          </cell>
        </row>
        <row r="76">
          <cell r="C76" t="str">
            <v xml:space="preserve">Incidência dos encargos do submódulo 2.2 sobre item D  </v>
          </cell>
          <cell r="Q76">
            <v>7.3000000000000001E-3</v>
          </cell>
        </row>
        <row r="77">
          <cell r="C77" t="str">
            <v xml:space="preserve">Multa sobre FGTS e contribuições sociais incidentes </v>
          </cell>
          <cell r="Q77">
            <v>0.04</v>
          </cell>
        </row>
        <row r="79">
          <cell r="C79" t="str">
            <v>MÓDULO 4 - CUSTO DE REPOSIÇÃO DO PROFISSIONAL AUSENTE</v>
          </cell>
        </row>
        <row r="81">
          <cell r="C81" t="str">
            <v>Dados Estatísticos</v>
          </cell>
        </row>
        <row r="82">
          <cell r="C82" t="str">
            <v>Dias de Ausências por Doença</v>
          </cell>
          <cell r="Q82">
            <v>5</v>
          </cell>
        </row>
        <row r="83">
          <cell r="C83" t="str">
            <v>Dias de Licença-Paternidade</v>
          </cell>
          <cell r="Q83">
            <v>5</v>
          </cell>
        </row>
        <row r="84">
          <cell r="C84" t="str">
            <v>Trabalhadores com direito a  Licença-Paternidade (%)</v>
          </cell>
          <cell r="Q84">
            <v>1.4999999999999999E-2</v>
          </cell>
        </row>
        <row r="85">
          <cell r="C85" t="str">
            <v>Dias de Ausências Legais</v>
          </cell>
          <cell r="Q85">
            <v>2.96</v>
          </cell>
        </row>
        <row r="86">
          <cell r="C86" t="str">
            <v>Empregados afastados por acidente de trabalho (em %)</v>
          </cell>
          <cell r="Q86">
            <v>7.7999999999999996E-3</v>
          </cell>
        </row>
        <row r="87">
          <cell r="C87" t="str">
            <v>Dias pagos pela empresa em acidentes de trabalho</v>
          </cell>
          <cell r="Q87">
            <v>15</v>
          </cell>
        </row>
        <row r="88">
          <cell r="C88" t="str">
            <v>Tempo de Licença-Maternidade</v>
          </cell>
          <cell r="Q88">
            <v>4</v>
          </cell>
        </row>
        <row r="89">
          <cell r="C89" t="str">
            <v>Rateio do Custo  da Licença-Maternidade durante Vigência Contratual</v>
          </cell>
          <cell r="Q89">
            <v>0.33329999999999999</v>
          </cell>
        </row>
        <row r="90">
          <cell r="C90" t="str">
            <v>Total de empregos RS (2020)</v>
          </cell>
          <cell r="Q90">
            <v>2820968</v>
          </cell>
        </row>
        <row r="91">
          <cell r="C91" t="str">
            <v>Mulheres empregadas RS (2020)</v>
          </cell>
          <cell r="Q91">
            <v>1303632</v>
          </cell>
        </row>
        <row r="92">
          <cell r="C92" t="str">
            <v>Quantidade de licenças maternidade concedidas (2020)</v>
          </cell>
          <cell r="Q92">
            <v>52313</v>
          </cell>
        </row>
        <row r="93">
          <cell r="C93" t="str">
            <v>% Licenças maternidade concedidas</v>
          </cell>
          <cell r="Q93">
            <v>4.0099999999999997E-2</v>
          </cell>
        </row>
        <row r="94">
          <cell r="C94" t="str">
            <v>% Mulheres empregadas RS (2020)</v>
          </cell>
          <cell r="Q94">
            <v>0.46210000000000001</v>
          </cell>
        </row>
        <row r="95">
          <cell r="C95" t="str">
            <v xml:space="preserve">Custo estimado do afastamento maternidade </v>
          </cell>
          <cell r="Q95">
            <v>6.1999999999999998E-3</v>
          </cell>
        </row>
        <row r="97">
          <cell r="C97" t="str">
            <v xml:space="preserve">Submódulo 4.1 - Substituto nas Ausências Legais - Base de cálculo para o custo do profissional ausente (substituto): BCCPA = (Rem + 13º sal + Férias + 1/3)x Item Reposição . Conforme item 89 do Relatório do Acórdão TCU nº 1.753/2008 do Plenário e orientações SEGES/MP </v>
          </cell>
        </row>
        <row r="98">
          <cell r="C98" t="str">
            <v xml:space="preserve">Substituto na cobertura de férias  </v>
          </cell>
          <cell r="Q98">
            <v>1.6199999999999999E-2</v>
          </cell>
        </row>
        <row r="99">
          <cell r="C99" t="str">
            <v xml:space="preserve">Substituto na cobertura das ausências por doença </v>
          </cell>
          <cell r="Q99">
            <v>1.3899999999999999E-2</v>
          </cell>
        </row>
        <row r="100">
          <cell r="C100" t="str">
            <v xml:space="preserve">Substituto na cobertura de licença paternidade </v>
          </cell>
          <cell r="Q100">
            <v>2.0000000000000001E-4</v>
          </cell>
        </row>
        <row r="101">
          <cell r="C101" t="str">
            <v xml:space="preserve">Substituto na cobertura das ausências legais </v>
          </cell>
          <cell r="Q101">
            <v>8.2000000000000007E-3</v>
          </cell>
        </row>
        <row r="102">
          <cell r="C102" t="str">
            <v xml:space="preserve">Substituto na cobertura nas ausências por acidente de trabalho </v>
          </cell>
          <cell r="Q102">
            <v>2.9999999999999997E-4</v>
          </cell>
        </row>
        <row r="103">
          <cell r="C103" t="str">
            <v xml:space="preserve">Substituto na cobertura de afastamento maternidade </v>
          </cell>
          <cell r="Q103">
            <v>6.9999999999999999E-4</v>
          </cell>
        </row>
        <row r="104">
          <cell r="C104" t="str">
            <v>Incidência dos encargos do submódulo 2.2</v>
          </cell>
          <cell r="Q104">
            <v>1.4500000000000001E-2</v>
          </cell>
        </row>
        <row r="105">
          <cell r="C105" t="str">
            <v>Inclusão benefícios Mensais e Diários</v>
          </cell>
          <cell r="Q105">
            <v>37.96</v>
          </cell>
        </row>
        <row r="106">
          <cell r="C106" t="str">
            <v xml:space="preserve">Inclusão custo M3 (Provisão para Rescisão) para substitutos  </v>
          </cell>
          <cell r="Q106">
            <v>37.96</v>
          </cell>
        </row>
        <row r="108">
          <cell r="C108" t="str">
            <v>SUBMÓDULO 4.2- Intervalo intrajornada</v>
          </cell>
        </row>
        <row r="109">
          <cell r="C109" t="str">
            <v>Intervalo para repouso ou alimentação</v>
          </cell>
        </row>
        <row r="110">
          <cell r="C110" t="str">
            <v>Rendição no Intervalo Intrajornada</v>
          </cell>
        </row>
        <row r="112">
          <cell r="C112" t="str">
            <v>MÓDULO 5 - UNIFORMES, MATERIAIS, EQUIPAMENTOS E VEÍCULOS</v>
          </cell>
        </row>
        <row r="114">
          <cell r="C114" t="str">
            <v>SUBMÓDULO 5.1 - Uniformes, materiais e equipamentos</v>
          </cell>
        </row>
        <row r="115">
          <cell r="C115" t="str">
            <v>Material Individual e Uniformes</v>
          </cell>
        </row>
        <row r="116">
          <cell r="C116" t="str">
            <v>Material Coletivo e Equipamentos</v>
          </cell>
        </row>
        <row r="119">
          <cell r="C119" t="str">
            <v>DETALHAMENTO ITEM A SUBMOD 5.2 - MANUTENÇÃO MENSAL DO VEÍCULO</v>
          </cell>
        </row>
        <row r="120">
          <cell r="C120" t="str">
            <v>Custos com Combustível</v>
          </cell>
        </row>
        <row r="121">
          <cell r="C121" t="str">
            <v>Custos com Óleo</v>
          </cell>
        </row>
        <row r="122">
          <cell r="C122" t="str">
            <v>Custos com Filtro Óleo</v>
          </cell>
        </row>
        <row r="123">
          <cell r="C123" t="str">
            <v>Custo com Pneu jogo de pneus</v>
          </cell>
        </row>
        <row r="124">
          <cell r="C124" t="str">
            <v>Custo estimado com manutenção</v>
          </cell>
        </row>
        <row r="126">
          <cell r="C126" t="str">
            <v>DETALHAMENTO ITEM B SUBMOD 5.2 - CUSTOS OBRIGATÓRIOS MENSAIS DO VEÍCULO</v>
          </cell>
        </row>
        <row r="127">
          <cell r="C127" t="str">
            <v>IPVA</v>
          </cell>
        </row>
        <row r="128">
          <cell r="C128" t="str">
            <v>Licenciamento</v>
          </cell>
        </row>
        <row r="129">
          <cell r="C129" t="str">
            <v>Vistoria EPTC</v>
          </cell>
        </row>
        <row r="130">
          <cell r="C130" t="str">
            <v>Seguro contra terceiros</v>
          </cell>
        </row>
        <row r="131">
          <cell r="C131" t="str">
            <v>Rastreador GPS</v>
          </cell>
        </row>
        <row r="133">
          <cell r="C133" t="str">
            <v>DETALHAMENTO ITEM C SUBMOD 5.2 - REMUNERAÇÃO DO CAPITAL E DEPRECIAÇÃO MENSAL DO VEÍCULO</v>
          </cell>
        </row>
        <row r="134">
          <cell r="C134" t="str">
            <v>Depreciação mensal</v>
          </cell>
        </row>
        <row r="135">
          <cell r="C135" t="str">
            <v>Remuneração mensal de capital</v>
          </cell>
        </row>
        <row r="137">
          <cell r="C137" t="str">
            <v>MÓDULO 6 - CUSTOS INDIRETOS, LUCRO E TRIBUTOS</v>
          </cell>
        </row>
        <row r="139">
          <cell r="C139" t="str">
            <v>SUBMÓDULO 6.1 - Custos administrativos e lucros</v>
          </cell>
        </row>
        <row r="140">
          <cell r="C140" t="str">
            <v>Custos administrativos</v>
          </cell>
          <cell r="Q140">
            <v>0.05</v>
          </cell>
        </row>
        <row r="141">
          <cell r="C141" t="str">
            <v>Lucros</v>
          </cell>
          <cell r="Q141">
            <v>0.1</v>
          </cell>
        </row>
        <row r="143">
          <cell r="C143" t="str">
            <v>SUBMÓDULO 6.2 - Tributos</v>
          </cell>
        </row>
        <row r="144">
          <cell r="C144" t="str">
            <v>COFINS</v>
          </cell>
          <cell r="Q144">
            <v>0.03</v>
          </cell>
        </row>
        <row r="145">
          <cell r="C145" t="str">
            <v>PIS/PASEP</v>
          </cell>
          <cell r="Q145">
            <v>6.4999999999999997E-3</v>
          </cell>
        </row>
        <row r="146">
          <cell r="C146" t="str">
            <v>ISSQN</v>
          </cell>
          <cell r="Q146">
            <v>0.05</v>
          </cell>
        </row>
        <row r="147">
          <cell r="C147" t="str">
            <v>Outros</v>
          </cell>
          <cell r="Q147">
            <v>0</v>
          </cell>
        </row>
        <row r="149">
          <cell r="C149" t="str">
            <v>QUADRO 2 - PRODUTIVIDADE</v>
          </cell>
        </row>
        <row r="151">
          <cell r="C151" t="str">
            <v>2.A - Áreas internas</v>
          </cell>
        </row>
        <row r="152">
          <cell r="C152" t="str">
            <v>Pisos acarpetados</v>
          </cell>
          <cell r="Q152">
            <v>800</v>
          </cell>
        </row>
        <row r="153">
          <cell r="C153" t="str">
            <v>Pisos Frios</v>
          </cell>
          <cell r="Q153">
            <v>800</v>
          </cell>
        </row>
        <row r="154">
          <cell r="C154" t="str">
            <v>Laboratoriais</v>
          </cell>
          <cell r="Q154">
            <v>360</v>
          </cell>
        </row>
        <row r="155">
          <cell r="C155" t="str">
            <v>Almoxarifados/galpões</v>
          </cell>
          <cell r="Q155">
            <v>1500</v>
          </cell>
        </row>
        <row r="156">
          <cell r="C156" t="str">
            <v>Oficinas</v>
          </cell>
          <cell r="Q156">
            <v>1200</v>
          </cell>
        </row>
        <row r="157">
          <cell r="C157" t="str">
            <v>Áreas com espaços livres - saguão, hall e salão</v>
          </cell>
          <cell r="Q157">
            <v>1000</v>
          </cell>
        </row>
        <row r="158">
          <cell r="C158" t="str">
            <v>Banheiros</v>
          </cell>
          <cell r="Q158">
            <v>200</v>
          </cell>
        </row>
        <row r="160">
          <cell r="C160" t="str">
            <v>2.B - Áreas externas</v>
          </cell>
        </row>
        <row r="161">
          <cell r="C161" t="str">
            <v>Pisos pavimentados adjacentes/contíguos às edificações</v>
          </cell>
          <cell r="Q161">
            <v>1800</v>
          </cell>
        </row>
        <row r="162">
          <cell r="C162" t="str">
            <v>Varrição de passeios e arruamentos</v>
          </cell>
          <cell r="Q162">
            <v>6000</v>
          </cell>
        </row>
        <row r="163">
          <cell r="C163" t="str">
            <v>Pátios e áreas verdes com alta frequência</v>
          </cell>
          <cell r="Q163">
            <v>1800</v>
          </cell>
        </row>
        <row r="164">
          <cell r="C164" t="str">
            <v>Pátios e áreas verdes com média frequência</v>
          </cell>
          <cell r="Q164">
            <v>1800</v>
          </cell>
        </row>
        <row r="165">
          <cell r="C165" t="str">
            <v>Pátios e áreas verdes com baixa frequência</v>
          </cell>
          <cell r="Q165">
            <v>1800</v>
          </cell>
        </row>
        <row r="166">
          <cell r="C166" t="str">
            <v>Coleta de detritos em pátios e áreas verdes com frequência diária</v>
          </cell>
          <cell r="Q166">
            <v>100000</v>
          </cell>
        </row>
        <row r="168">
          <cell r="C168" t="str">
            <v>2.C - Esquadrias externas</v>
          </cell>
        </row>
        <row r="169">
          <cell r="C169" t="str">
            <v>Face externa com exposição a situação de risco</v>
          </cell>
          <cell r="Q169">
            <v>130</v>
          </cell>
        </row>
        <row r="170">
          <cell r="C170" t="str">
            <v>Face externa sem exposição a situação de risco</v>
          </cell>
          <cell r="Q170">
            <v>300</v>
          </cell>
        </row>
        <row r="171">
          <cell r="C171" t="str">
            <v>Face interna</v>
          </cell>
          <cell r="Q171">
            <v>300</v>
          </cell>
        </row>
        <row r="173">
          <cell r="C173" t="str">
            <v>2.D - Fachadas</v>
          </cell>
        </row>
        <row r="174">
          <cell r="C174" t="str">
            <v>Fachadas Envidraçadas</v>
          </cell>
          <cell r="Q174">
            <v>130</v>
          </cell>
        </row>
        <row r="176">
          <cell r="C176" t="str">
            <v>2.E - Áreas Hospitalares</v>
          </cell>
        </row>
        <row r="177">
          <cell r="C177" t="str">
            <v>Áreas Hospitalares e assemelhadas</v>
          </cell>
          <cell r="Q177">
            <v>360</v>
          </cell>
        </row>
      </sheetData>
      <sheetData sheetId="8">
        <row r="1">
          <cell r="A1" t="str">
            <v>POSTO</v>
          </cell>
          <cell r="B1" t="str">
            <v>CBO</v>
          </cell>
          <cell r="C1" t="str">
            <v>SINDICATO</v>
          </cell>
          <cell r="D1" t="str">
            <v>REGISTRO M.T.E.</v>
          </cell>
          <cell r="E1" t="str">
            <v>DATA BASE</v>
          </cell>
          <cell r="F1" t="str">
            <v>VIGÊNCA CCT</v>
          </cell>
          <cell r="G1" t="str">
            <v>PISO NORMATIVO</v>
          </cell>
          <cell r="H1" t="str">
            <v>REGIME MENSAL CONVENÇÃO</v>
          </cell>
          <cell r="I1" t="str">
            <v>AUXÍLIO ALIMENTAÇÃO (DIA)</v>
          </cell>
          <cell r="J1" t="str">
            <v>AUXÍLIO LANCHE</v>
          </cell>
          <cell r="K1" t="str">
            <v>% Incidência = 50%</v>
          </cell>
          <cell r="L1" t="str">
            <v>Adicional Troca Uniformes</v>
          </cell>
          <cell r="M1" t="str">
            <v>Insalubridade sobre Piso</v>
          </cell>
          <cell r="N1" t="str">
            <v>Incidência salário</v>
          </cell>
          <cell r="O1" t="str">
            <v>Periculosidade Adic. 30%</v>
          </cell>
          <cell r="P1" t="str">
            <v>Participação do empregado no custo Vale transporte</v>
          </cell>
          <cell r="Q1" t="str">
            <v>Participação do empregado no custo Vale refeição</v>
          </cell>
          <cell r="R1" t="str">
            <v>Plano Benefício Familiar</v>
          </cell>
          <cell r="S1" t="str">
            <v>Seguro de Vida</v>
          </cell>
          <cell r="T1" t="str">
            <v>ISSQN</v>
          </cell>
        </row>
        <row r="3">
          <cell r="A3" t="str">
            <v>Auxiliar de Almoxarifado</v>
          </cell>
          <cell r="B3">
            <v>4141</v>
          </cell>
          <cell r="C3" t="str">
            <v>SINDASSEIO</v>
          </cell>
          <cell r="D3" t="str">
            <v>RS004917/2023</v>
          </cell>
          <cell r="E3">
            <v>45292</v>
          </cell>
          <cell r="F3">
            <v>45657</v>
          </cell>
          <cell r="G3">
            <v>1540.51</v>
          </cell>
          <cell r="H3">
            <v>220</v>
          </cell>
          <cell r="I3">
            <v>23.68</v>
          </cell>
          <cell r="J3">
            <v>11.84</v>
          </cell>
          <cell r="N3" t="str">
            <v>Salário Base</v>
          </cell>
          <cell r="P3">
            <v>0.06</v>
          </cell>
          <cell r="Q3">
            <v>0.19</v>
          </cell>
          <cell r="R3">
            <v>19.420000000000002</v>
          </cell>
          <cell r="T3">
            <v>0.05</v>
          </cell>
        </row>
        <row r="4">
          <cell r="A4" t="str">
            <v>Auxiliar de Escritório</v>
          </cell>
          <cell r="B4">
            <v>4110</v>
          </cell>
          <cell r="C4" t="str">
            <v>SINDASSEIO</v>
          </cell>
          <cell r="D4" t="str">
            <v>RS004917/2023</v>
          </cell>
          <cell r="E4">
            <v>45292</v>
          </cell>
          <cell r="F4">
            <v>45657</v>
          </cell>
          <cell r="G4">
            <v>2013.31</v>
          </cell>
          <cell r="H4">
            <v>220</v>
          </cell>
          <cell r="I4">
            <v>23.68</v>
          </cell>
          <cell r="J4">
            <v>11.84</v>
          </cell>
          <cell r="N4" t="str">
            <v>Salário Base</v>
          </cell>
          <cell r="P4">
            <v>0.06</v>
          </cell>
          <cell r="Q4">
            <v>0.19</v>
          </cell>
          <cell r="R4">
            <v>19.420000000000002</v>
          </cell>
          <cell r="T4">
            <v>0.05</v>
          </cell>
        </row>
        <row r="5">
          <cell r="A5" t="str">
            <v>Auxiliar de Manutenção Predial</v>
          </cell>
          <cell r="B5">
            <v>5143</v>
          </cell>
          <cell r="C5" t="str">
            <v>SINDASSEIO</v>
          </cell>
          <cell r="D5" t="str">
            <v>RS004917/2023</v>
          </cell>
          <cell r="E5">
            <v>45292</v>
          </cell>
          <cell r="F5">
            <v>45657</v>
          </cell>
          <cell r="G5">
            <v>1540.51</v>
          </cell>
          <cell r="H5">
            <v>220</v>
          </cell>
          <cell r="I5">
            <v>23.68</v>
          </cell>
          <cell r="J5">
            <v>11.84</v>
          </cell>
          <cell r="N5" t="str">
            <v>Salário Base</v>
          </cell>
          <cell r="P5">
            <v>0.06</v>
          </cell>
          <cell r="Q5">
            <v>0.19</v>
          </cell>
          <cell r="R5">
            <v>19.420000000000002</v>
          </cell>
          <cell r="T5">
            <v>0.05</v>
          </cell>
        </row>
        <row r="6">
          <cell r="A6" t="str">
            <v>Auxiliar de Cozinha</v>
          </cell>
          <cell r="B6">
            <v>5135</v>
          </cell>
          <cell r="C6" t="str">
            <v>SINDASSEIO</v>
          </cell>
          <cell r="D6" t="str">
            <v>RS004917/2023</v>
          </cell>
          <cell r="E6">
            <v>45292</v>
          </cell>
          <cell r="F6">
            <v>45657</v>
          </cell>
          <cell r="G6">
            <v>1540.51</v>
          </cell>
          <cell r="H6">
            <v>220</v>
          </cell>
          <cell r="I6">
            <v>23.68</v>
          </cell>
          <cell r="J6">
            <v>11.84</v>
          </cell>
          <cell r="M6">
            <v>0.2</v>
          </cell>
          <cell r="N6" t="str">
            <v>Salário Base</v>
          </cell>
          <cell r="P6">
            <v>0.06</v>
          </cell>
          <cell r="Q6">
            <v>0.19</v>
          </cell>
          <cell r="R6">
            <v>19.420000000000002</v>
          </cell>
          <cell r="T6">
            <v>0.05</v>
          </cell>
        </row>
        <row r="7">
          <cell r="A7" t="str">
            <v>Coletor, lixeiro</v>
          </cell>
          <cell r="B7">
            <v>5142</v>
          </cell>
          <cell r="C7" t="str">
            <v>SINDASSEIO</v>
          </cell>
          <cell r="D7" t="str">
            <v>RS004917/2023</v>
          </cell>
          <cell r="E7">
            <v>45292</v>
          </cell>
          <cell r="F7">
            <v>45657</v>
          </cell>
          <cell r="G7">
            <v>1816.57</v>
          </cell>
          <cell r="H7">
            <v>220</v>
          </cell>
          <cell r="I7">
            <v>23.68</v>
          </cell>
          <cell r="J7">
            <v>11.84</v>
          </cell>
          <cell r="M7">
            <v>0.4</v>
          </cell>
          <cell r="N7" t="str">
            <v>Salário Base</v>
          </cell>
          <cell r="P7">
            <v>0.06</v>
          </cell>
          <cell r="Q7">
            <v>0.19</v>
          </cell>
          <cell r="R7">
            <v>19.420000000000002</v>
          </cell>
          <cell r="T7">
            <v>0.05</v>
          </cell>
        </row>
        <row r="8">
          <cell r="A8" t="str">
            <v>Copeiro</v>
          </cell>
          <cell r="B8">
            <v>5134</v>
          </cell>
          <cell r="C8" t="str">
            <v>SINDASSEIO</v>
          </cell>
          <cell r="D8" t="str">
            <v>RS004917/2023</v>
          </cell>
          <cell r="E8">
            <v>45292</v>
          </cell>
          <cell r="F8">
            <v>45657</v>
          </cell>
          <cell r="G8">
            <v>1540.51</v>
          </cell>
          <cell r="H8">
            <v>220</v>
          </cell>
          <cell r="I8">
            <v>23.68</v>
          </cell>
          <cell r="J8">
            <v>11.84</v>
          </cell>
          <cell r="M8">
            <v>0.2</v>
          </cell>
          <cell r="N8" t="str">
            <v>Salário Base</v>
          </cell>
          <cell r="P8">
            <v>0.06</v>
          </cell>
          <cell r="Q8">
            <v>0.19</v>
          </cell>
          <cell r="R8">
            <v>19.420000000000002</v>
          </cell>
          <cell r="T8">
            <v>0.05</v>
          </cell>
        </row>
        <row r="9">
          <cell r="A9" t="str">
            <v>Cozinheiro</v>
          </cell>
          <cell r="B9">
            <v>5132</v>
          </cell>
          <cell r="C9" t="str">
            <v>SINDASSEIO</v>
          </cell>
          <cell r="D9" t="str">
            <v>RS004917/2023</v>
          </cell>
          <cell r="E9">
            <v>45292</v>
          </cell>
          <cell r="F9">
            <v>45657</v>
          </cell>
          <cell r="G9">
            <v>1617.44</v>
          </cell>
          <cell r="H9">
            <v>220</v>
          </cell>
          <cell r="I9">
            <v>23.68</v>
          </cell>
          <cell r="J9">
            <v>11.84</v>
          </cell>
          <cell r="M9">
            <v>0.2</v>
          </cell>
          <cell r="N9" t="str">
            <v>Salário Base</v>
          </cell>
          <cell r="P9">
            <v>0.06</v>
          </cell>
          <cell r="Q9">
            <v>0.19</v>
          </cell>
          <cell r="R9">
            <v>19.420000000000002</v>
          </cell>
          <cell r="T9">
            <v>0.05</v>
          </cell>
        </row>
        <row r="10">
          <cell r="A10" t="str">
            <v>Aux. Limpeza, Serv. Gerais</v>
          </cell>
          <cell r="B10">
            <v>5143</v>
          </cell>
          <cell r="C10" t="str">
            <v>SINDASSEIO</v>
          </cell>
          <cell r="D10" t="str">
            <v>RS004917/2023</v>
          </cell>
          <cell r="E10">
            <v>45292</v>
          </cell>
          <cell r="F10">
            <v>45657</v>
          </cell>
          <cell r="G10">
            <v>1540.51</v>
          </cell>
          <cell r="H10">
            <v>220</v>
          </cell>
          <cell r="I10">
            <v>23.68</v>
          </cell>
          <cell r="J10">
            <v>11.84</v>
          </cell>
          <cell r="M10">
            <v>0.4</v>
          </cell>
          <cell r="N10" t="str">
            <v>Salário Base</v>
          </cell>
          <cell r="P10">
            <v>0.06</v>
          </cell>
          <cell r="Q10">
            <v>0.19</v>
          </cell>
          <cell r="R10">
            <v>19.420000000000002</v>
          </cell>
          <cell r="T10">
            <v>2.5000000000000001E-2</v>
          </cell>
        </row>
        <row r="11">
          <cell r="A11" t="str">
            <v>Porteiro</v>
          </cell>
          <cell r="B11">
            <v>5174</v>
          </cell>
          <cell r="C11" t="str">
            <v>SINDASSEIO</v>
          </cell>
          <cell r="D11" t="str">
            <v>RS004917/2023</v>
          </cell>
          <cell r="E11">
            <v>45292</v>
          </cell>
          <cell r="F11">
            <v>45657</v>
          </cell>
          <cell r="G11">
            <v>1854.91</v>
          </cell>
          <cell r="H11">
            <v>220</v>
          </cell>
          <cell r="I11">
            <v>23.68</v>
          </cell>
          <cell r="J11">
            <v>11.84</v>
          </cell>
          <cell r="N11" t="str">
            <v>Salário Base</v>
          </cell>
          <cell r="P11">
            <v>0.06</v>
          </cell>
          <cell r="Q11">
            <v>0.19</v>
          </cell>
          <cell r="R11">
            <v>19.420000000000002</v>
          </cell>
          <cell r="T11">
            <v>2.5000000000000001E-2</v>
          </cell>
        </row>
        <row r="12">
          <cell r="A12" t="str">
            <v>Recepcionista</v>
          </cell>
          <cell r="B12">
            <v>4221</v>
          </cell>
          <cell r="C12" t="str">
            <v>SINDASSEIO</v>
          </cell>
          <cell r="D12" t="str">
            <v>RS004917/2023</v>
          </cell>
          <cell r="E12">
            <v>45292</v>
          </cell>
          <cell r="F12">
            <v>45657</v>
          </cell>
          <cell r="G12">
            <v>1741.66</v>
          </cell>
          <cell r="H12">
            <v>220</v>
          </cell>
          <cell r="I12">
            <v>23.68</v>
          </cell>
          <cell r="J12">
            <v>11.84</v>
          </cell>
          <cell r="N12" t="str">
            <v>Salário Base</v>
          </cell>
          <cell r="P12">
            <v>0.06</v>
          </cell>
          <cell r="Q12">
            <v>0.19</v>
          </cell>
          <cell r="R12">
            <v>19.420000000000002</v>
          </cell>
          <cell r="T12">
            <v>2.5000000000000001E-2</v>
          </cell>
        </row>
        <row r="13">
          <cell r="A13" t="str">
            <v>Varredor - Limpeza Urbana</v>
          </cell>
          <cell r="B13">
            <v>5142</v>
          </cell>
          <cell r="C13" t="str">
            <v>SINDASSEIO</v>
          </cell>
          <cell r="D13" t="str">
            <v>RS004917/2023</v>
          </cell>
          <cell r="E13">
            <v>45292</v>
          </cell>
          <cell r="F13">
            <v>45657</v>
          </cell>
          <cell r="G13">
            <v>1570.01</v>
          </cell>
          <cell r="H13">
            <v>220</v>
          </cell>
          <cell r="I13">
            <v>23.68</v>
          </cell>
          <cell r="J13">
            <v>11.84</v>
          </cell>
          <cell r="M13">
            <v>0.2</v>
          </cell>
          <cell r="N13" t="str">
            <v>Salário Base</v>
          </cell>
          <cell r="P13">
            <v>0.06</v>
          </cell>
          <cell r="Q13">
            <v>0.19</v>
          </cell>
          <cell r="R13">
            <v>19.420000000000002</v>
          </cell>
          <cell r="T13">
            <v>2.5000000000000001E-2</v>
          </cell>
        </row>
        <row r="14">
          <cell r="A14" t="str">
            <v>Limpador Alpinista</v>
          </cell>
          <cell r="B14">
            <v>5143</v>
          </cell>
          <cell r="C14" t="str">
            <v>SINDASSEIO</v>
          </cell>
          <cell r="D14" t="str">
            <v>RS004917/2023</v>
          </cell>
          <cell r="E14">
            <v>45292</v>
          </cell>
          <cell r="F14">
            <v>45657</v>
          </cell>
          <cell r="G14">
            <v>1957.46</v>
          </cell>
          <cell r="H14">
            <v>220</v>
          </cell>
          <cell r="I14">
            <v>23.68</v>
          </cell>
          <cell r="J14">
            <v>11.84</v>
          </cell>
          <cell r="N14" t="str">
            <v>Salário Base</v>
          </cell>
          <cell r="O14">
            <v>0.3</v>
          </cell>
          <cell r="P14">
            <v>0.06</v>
          </cell>
          <cell r="Q14">
            <v>0.19</v>
          </cell>
          <cell r="R14">
            <v>19.420000000000002</v>
          </cell>
          <cell r="T14">
            <v>2.5000000000000001E-2</v>
          </cell>
        </row>
        <row r="15">
          <cell r="A15" t="str">
            <v>Operador de Rádio Chamada</v>
          </cell>
          <cell r="B15">
            <v>4227</v>
          </cell>
          <cell r="C15" t="str">
            <v>SINDASSEIO</v>
          </cell>
          <cell r="D15" t="str">
            <v>RS004917/2023</v>
          </cell>
          <cell r="E15">
            <v>45292</v>
          </cell>
          <cell r="F15">
            <v>45657</v>
          </cell>
          <cell r="G15">
            <v>1854.91</v>
          </cell>
          <cell r="H15">
            <v>220</v>
          </cell>
          <cell r="I15">
            <v>23.68</v>
          </cell>
          <cell r="J15">
            <v>11.84</v>
          </cell>
          <cell r="N15" t="str">
            <v>Salário Base</v>
          </cell>
          <cell r="P15">
            <v>0.06</v>
          </cell>
          <cell r="Q15">
            <v>0.19</v>
          </cell>
          <cell r="R15">
            <v>19.420000000000002</v>
          </cell>
          <cell r="T15">
            <v>0.05</v>
          </cell>
        </row>
        <row r="16">
          <cell r="A16" t="str">
            <v>Telefonista terceirizada 180hs </v>
          </cell>
          <cell r="B16">
            <v>4222</v>
          </cell>
          <cell r="C16" t="str">
            <v>SINDASSEIO</v>
          </cell>
          <cell r="D16" t="str">
            <v>RS004917/2023</v>
          </cell>
          <cell r="E16">
            <v>45292</v>
          </cell>
          <cell r="F16">
            <v>45657</v>
          </cell>
          <cell r="G16">
            <v>1741.66</v>
          </cell>
          <cell r="H16">
            <v>180</v>
          </cell>
          <cell r="J16">
            <v>11.84</v>
          </cell>
          <cell r="N16" t="str">
            <v>Salário Base</v>
          </cell>
          <cell r="P16">
            <v>0.06</v>
          </cell>
          <cell r="Q16">
            <v>0.19</v>
          </cell>
          <cell r="R16">
            <v>19.420000000000002</v>
          </cell>
          <cell r="T16">
            <v>0.05</v>
          </cell>
        </row>
        <row r="17">
          <cell r="A17" t="str">
            <v>Vigilante</v>
          </cell>
          <cell r="B17">
            <v>5173</v>
          </cell>
          <cell r="C17" t="str">
            <v>SINDIVIGILANTES</v>
          </cell>
          <cell r="D17" t="str">
            <v>RS000303/2024</v>
          </cell>
          <cell r="E17">
            <v>45323</v>
          </cell>
          <cell r="F17">
            <v>45688</v>
          </cell>
          <cell r="G17">
            <v>1977.8</v>
          </cell>
          <cell r="H17">
            <v>220</v>
          </cell>
          <cell r="I17">
            <v>27</v>
          </cell>
          <cell r="L17">
            <v>1.9478333333333335</v>
          </cell>
          <cell r="N17" t="str">
            <v>Salário Mínimo</v>
          </cell>
          <cell r="O17">
            <v>0.3</v>
          </cell>
          <cell r="P17">
            <v>0.06</v>
          </cell>
          <cell r="Q17">
            <v>0.2</v>
          </cell>
          <cell r="S17">
            <v>19.420000000000002</v>
          </cell>
          <cell r="T17">
            <v>2.5000000000000001E-2</v>
          </cell>
        </row>
        <row r="18">
          <cell r="A18" t="str">
            <v>Motorista Veículos Leves</v>
          </cell>
          <cell r="B18">
            <v>7823</v>
          </cell>
          <cell r="C18" t="str">
            <v>SINDIELV</v>
          </cell>
          <cell r="D18" t="str">
            <v>RS003831/2021</v>
          </cell>
          <cell r="E18">
            <v>44470</v>
          </cell>
          <cell r="F18">
            <v>44834</v>
          </cell>
          <cell r="G18">
            <v>1799.88</v>
          </cell>
          <cell r="H18">
            <v>220</v>
          </cell>
          <cell r="I18">
            <v>22.366000000000003</v>
          </cell>
          <cell r="N18" t="str">
            <v>Salário Mínimo</v>
          </cell>
          <cell r="P18">
            <v>0.06</v>
          </cell>
          <cell r="Q18">
            <v>0.2</v>
          </cell>
          <cell r="S18">
            <v>19.420000000000002</v>
          </cell>
          <cell r="T18">
            <v>2.5000000000000001E-2</v>
          </cell>
        </row>
        <row r="19">
          <cell r="A19" t="str">
            <v>Motorista Van</v>
          </cell>
          <cell r="B19">
            <v>7823</v>
          </cell>
          <cell r="C19" t="str">
            <v>SINDIELV</v>
          </cell>
          <cell r="D19" t="str">
            <v>RS003831/2021</v>
          </cell>
          <cell r="E19">
            <v>44470</v>
          </cell>
          <cell r="F19">
            <v>44834</v>
          </cell>
          <cell r="G19">
            <v>1858.18</v>
          </cell>
          <cell r="H19">
            <v>220</v>
          </cell>
          <cell r="I19">
            <v>22.366000000000003</v>
          </cell>
          <cell r="N19" t="str">
            <v>Salário Mínimo</v>
          </cell>
          <cell r="P19">
            <v>0.06</v>
          </cell>
          <cell r="Q19">
            <v>0.2</v>
          </cell>
          <cell r="S19">
            <v>19.420000000000002</v>
          </cell>
          <cell r="T19">
            <v>2.5000000000000001E-2</v>
          </cell>
        </row>
        <row r="20">
          <cell r="A20" t="str">
            <v>Motorista Caminhão</v>
          </cell>
          <cell r="B20">
            <v>7825</v>
          </cell>
          <cell r="C20" t="str">
            <v>SINDIELV</v>
          </cell>
          <cell r="D20" t="str">
            <v>RS003831/2021</v>
          </cell>
          <cell r="E20">
            <v>44470</v>
          </cell>
          <cell r="F20">
            <v>44834</v>
          </cell>
          <cell r="G20">
            <v>1827.44</v>
          </cell>
          <cell r="H20">
            <v>220</v>
          </cell>
          <cell r="I20">
            <v>22.366000000000003</v>
          </cell>
          <cell r="N20" t="str">
            <v>Salário Mínimo</v>
          </cell>
          <cell r="P20">
            <v>0.06</v>
          </cell>
          <cell r="Q20">
            <v>0.2</v>
          </cell>
          <cell r="S20">
            <v>19.420000000000002</v>
          </cell>
          <cell r="T20">
            <v>2.5000000000000001E-2</v>
          </cell>
        </row>
        <row r="21">
          <cell r="A21" t="str">
            <v>Motorista Operador Caminhão</v>
          </cell>
          <cell r="B21">
            <v>7825</v>
          </cell>
          <cell r="C21" t="str">
            <v>SINDIELV</v>
          </cell>
          <cell r="D21" t="str">
            <v>RS003831/2021</v>
          </cell>
          <cell r="E21">
            <v>44470</v>
          </cell>
          <cell r="F21">
            <v>44834</v>
          </cell>
          <cell r="G21">
            <v>1873.02</v>
          </cell>
          <cell r="H21">
            <v>220</v>
          </cell>
          <cell r="I21">
            <v>22.366000000000003</v>
          </cell>
          <cell r="N21" t="str">
            <v>Salário Mínimo</v>
          </cell>
          <cell r="P21">
            <v>0.06</v>
          </cell>
          <cell r="Q21">
            <v>0.2</v>
          </cell>
          <cell r="S21">
            <v>19.420000000000002</v>
          </cell>
          <cell r="T21">
            <v>2.5000000000000001E-2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mecomercial.ltda@outlook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3.mte.gov.br/sistemas/mediador/ConsultarInstColetiv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H12" sqref="H12:J12"/>
    </sheetView>
  </sheetViews>
  <sheetFormatPr defaultColWidth="8.875" defaultRowHeight="16.5"/>
  <cols>
    <col min="1" max="1" width="1.5" style="232" customWidth="1"/>
    <col min="2" max="2" width="26.125" style="232" bestFit="1" customWidth="1"/>
    <col min="3" max="4" width="14.125" style="232" customWidth="1"/>
    <col min="5" max="5" width="18.5" style="232" customWidth="1"/>
    <col min="6" max="6" width="16.125" style="232" customWidth="1"/>
    <col min="7" max="8" width="14.625" style="232" customWidth="1"/>
    <col min="9" max="9" width="18.125" style="232" customWidth="1"/>
    <col min="10" max="10" width="19.875" style="232" customWidth="1"/>
    <col min="11" max="11" width="16.5" style="232" bestFit="1" customWidth="1"/>
    <col min="12" max="16384" width="8.875" style="232"/>
  </cols>
  <sheetData>
    <row r="2" spans="2:10">
      <c r="B2" s="233" t="s">
        <v>179</v>
      </c>
      <c r="C2" s="234"/>
      <c r="D2" s="234"/>
      <c r="E2" s="234"/>
      <c r="F2" s="234"/>
      <c r="G2" s="234"/>
      <c r="H2" s="234"/>
      <c r="I2" s="234"/>
      <c r="J2" s="235"/>
    </row>
    <row r="3" spans="2:10">
      <c r="B3" s="236" t="str">
        <f>IF(IFERROR(SUM([2]Produtividade!L195:L220)&gt;0,FALSE()),[2]Produtividade!D5,
IF(IFERROR([2]Veículos!$E$3&lt;&gt;"",FALSE()),'[2]Mão de Obra'!D5,'[2]Mão de Obra'!D5))</f>
        <v>SECRETARIA DE ADMINISTRAÇÃO E PATRIMÔNIO</v>
      </c>
      <c r="C3" s="237"/>
      <c r="D3" s="237"/>
      <c r="E3" s="237"/>
      <c r="F3" s="237"/>
      <c r="G3" s="237"/>
      <c r="H3" s="237"/>
      <c r="I3" s="237"/>
      <c r="J3" s="238"/>
    </row>
    <row r="4" spans="2:10">
      <c r="B4" s="239" t="s">
        <v>180</v>
      </c>
      <c r="C4" s="240"/>
      <c r="D4" s="240"/>
      <c r="E4" s="240"/>
      <c r="F4" s="240"/>
      <c r="G4" s="240"/>
      <c r="H4" s="240"/>
      <c r="I4" s="240"/>
      <c r="J4" s="241"/>
    </row>
    <row r="5" spans="2:10">
      <c r="B5" s="242"/>
      <c r="C5" s="242"/>
      <c r="D5" s="242"/>
      <c r="E5" s="242"/>
      <c r="F5" s="242"/>
      <c r="G5" s="242"/>
      <c r="H5" s="242"/>
      <c r="I5" s="242"/>
      <c r="J5" s="242"/>
    </row>
    <row r="6" spans="2:10">
      <c r="B6" s="243" t="s">
        <v>211</v>
      </c>
      <c r="C6" s="38" t="s">
        <v>208</v>
      </c>
      <c r="D6" s="38"/>
      <c r="E6" s="38"/>
      <c r="F6" s="244" t="s">
        <v>181</v>
      </c>
      <c r="G6" s="244"/>
      <c r="H6" s="244"/>
      <c r="I6" s="245">
        <f>IF(IFERROR(SUM([2]Produtividade!L195:L220)&gt;0,FALSE()),[2]Produtividade!D12,
IF(IFERROR([2]Veículos!$E$3&lt;&gt;"",FALSE()),'[2]Mão de Obra'!D12,
'[2]Mão de Obra'!D12))</f>
        <v>6</v>
      </c>
      <c r="J6" s="245"/>
    </row>
    <row r="7" spans="2:10">
      <c r="B7" s="243" t="s">
        <v>182</v>
      </c>
      <c r="C7" s="246" t="s">
        <v>7</v>
      </c>
      <c r="D7" s="246"/>
      <c r="E7" s="246"/>
      <c r="F7" s="244" t="s">
        <v>183</v>
      </c>
      <c r="G7" s="244"/>
      <c r="H7" s="244"/>
      <c r="I7" s="38" t="str">
        <f>IF(IFERROR(SUM([2]Produtividade!L195:L220)&gt;0,FALSE()),[2]Produtividade!D11,
IF(IFERROR([2]Veículos!$E$3&lt;&gt;"",FALSE()),'[2]Mão de Obra'!D11,
'[2]Mão de Obra'!D11))</f>
        <v>Mês</v>
      </c>
      <c r="J7" s="247"/>
    </row>
    <row r="8" spans="2:10">
      <c r="B8" s="248" t="s">
        <v>210</v>
      </c>
      <c r="C8" s="248"/>
      <c r="D8" s="248"/>
      <c r="E8" s="248"/>
      <c r="F8" s="248"/>
      <c r="G8" s="248"/>
      <c r="H8" s="248"/>
      <c r="I8" s="248"/>
      <c r="J8" s="248"/>
    </row>
    <row r="9" spans="2:10" ht="27.75" customHeight="1">
      <c r="B9" s="243" t="s">
        <v>184</v>
      </c>
      <c r="C9" s="273" t="s">
        <v>212</v>
      </c>
      <c r="D9" s="273"/>
      <c r="E9" s="273"/>
      <c r="F9" s="249" t="s">
        <v>185</v>
      </c>
      <c r="G9" s="250"/>
      <c r="H9" s="251"/>
      <c r="I9" s="38" t="s">
        <v>204</v>
      </c>
      <c r="J9" s="247"/>
    </row>
    <row r="10" spans="2:10">
      <c r="B10" s="243" t="s">
        <v>186</v>
      </c>
      <c r="C10" s="247" t="s">
        <v>207</v>
      </c>
      <c r="D10" s="247"/>
      <c r="E10" s="247"/>
      <c r="F10" s="249" t="s">
        <v>187</v>
      </c>
      <c r="G10" s="250"/>
      <c r="H10" s="251"/>
      <c r="I10" s="252"/>
      <c r="J10" s="253"/>
    </row>
    <row r="11" spans="2:10">
      <c r="B11" s="243" t="s">
        <v>188</v>
      </c>
      <c r="C11" s="43"/>
      <c r="D11" s="43"/>
      <c r="E11" s="43"/>
      <c r="F11" s="244" t="s">
        <v>189</v>
      </c>
      <c r="G11" s="244"/>
      <c r="H11" s="247" t="s">
        <v>205</v>
      </c>
      <c r="I11" s="247"/>
      <c r="J11" s="247"/>
    </row>
    <row r="12" spans="2:10">
      <c r="B12" s="243" t="s">
        <v>190</v>
      </c>
      <c r="C12" s="40" t="s">
        <v>213</v>
      </c>
      <c r="D12" s="40"/>
      <c r="E12" s="40"/>
      <c r="F12" s="244" t="s">
        <v>191</v>
      </c>
      <c r="G12" s="244"/>
      <c r="H12" s="247"/>
      <c r="I12" s="247"/>
      <c r="J12" s="247"/>
    </row>
    <row r="13" spans="2:10">
      <c r="B13" s="243" t="s">
        <v>192</v>
      </c>
      <c r="C13" s="274" t="s">
        <v>206</v>
      </c>
      <c r="D13" s="247"/>
      <c r="E13" s="247"/>
      <c r="F13" s="244" t="s">
        <v>193</v>
      </c>
      <c r="G13" s="244"/>
      <c r="H13" s="247"/>
      <c r="I13" s="247"/>
      <c r="J13" s="247"/>
    </row>
    <row r="14" spans="2:10">
      <c r="B14" s="254"/>
      <c r="C14" s="254"/>
      <c r="D14" s="254"/>
      <c r="E14" s="254"/>
      <c r="F14" s="254"/>
      <c r="G14" s="254"/>
      <c r="H14" s="254"/>
      <c r="I14" s="254"/>
      <c r="J14" s="23"/>
    </row>
    <row r="15" spans="2:10">
      <c r="B15" s="255" t="s">
        <v>194</v>
      </c>
      <c r="C15" s="256"/>
      <c r="D15" s="256"/>
      <c r="E15" s="256"/>
      <c r="F15" s="256"/>
      <c r="G15" s="256"/>
      <c r="H15" s="256"/>
      <c r="I15" s="256"/>
      <c r="J15" s="257"/>
    </row>
    <row r="16" spans="2:10" ht="30">
      <c r="B16" s="258" t="s">
        <v>195</v>
      </c>
      <c r="C16" s="259" t="s">
        <v>196</v>
      </c>
      <c r="D16" s="259" t="s">
        <v>197</v>
      </c>
      <c r="E16" s="260" t="s">
        <v>198</v>
      </c>
      <c r="F16" s="260" t="s">
        <v>199</v>
      </c>
      <c r="G16" s="260" t="s">
        <v>200</v>
      </c>
      <c r="H16" s="260" t="s">
        <v>201</v>
      </c>
      <c r="I16" s="260" t="s">
        <v>202</v>
      </c>
      <c r="J16" s="260" t="s">
        <v>203</v>
      </c>
    </row>
    <row r="17" spans="2:11" ht="33">
      <c r="B17" s="261" t="str">
        <f>IF(
INDEX('[2]Mão de Obra'!$E$18:$AD$18,1,ROW()-ROW($B$16))&lt;&gt;0,
INDEX('[2]Mão de Obra'!$E$18:$AD$18,1,ROW()-ROW($B$16)),
"EXCLUIR ESTA LINHA"
)</f>
        <v>Carregador (Armazém)</v>
      </c>
      <c r="C17" s="262" t="str">
        <f>INDEX('[2]Mão de Obra'!$E$26:$AD$26,1,ROW()-ROW($C$16))</f>
        <v>40h (5 dia/sem)</v>
      </c>
      <c r="D17" s="272">
        <v>150</v>
      </c>
      <c r="E17" s="263">
        <f>D17</f>
        <v>150</v>
      </c>
      <c r="F17" s="264">
        <f>PROPOSTA!E170</f>
        <v>21.317309425733377</v>
      </c>
      <c r="G17" s="264">
        <f>PROPOSTA!E171</f>
        <v>193.79372205212164</v>
      </c>
      <c r="H17" s="264">
        <f>PROPOSTA!E172</f>
        <v>4263.4618851466757</v>
      </c>
      <c r="I17" s="264">
        <f>H17*E17</f>
        <v>639519.28277200134</v>
      </c>
      <c r="J17" s="265">
        <f>I17*6</f>
        <v>3837115.6966320081</v>
      </c>
      <c r="K17" s="266"/>
    </row>
    <row r="18" spans="2:11" ht="33">
      <c r="B18" s="261" t="str">
        <f>IF(
INDEX('[2]Mão de Obra'!$E$18:$AD$18,1,ROW()-ROW($B$16))&lt;&gt;0,
INDEX('[2]Mão de Obra'!$E$18:$AD$18,1,ROW()-ROW($B$16)),
"EXCLUIR ESTA LINHA"
)</f>
        <v>Carregador (Armazém) sábado e domingo</v>
      </c>
      <c r="C18" s="262" t="str">
        <f>INDEX('[2]Mão de Obra'!$E$26:$AD$26,1,ROW()-ROW($C$16))</f>
        <v>16h (2 dia/sem)</v>
      </c>
      <c r="D18" s="272">
        <v>150</v>
      </c>
      <c r="E18" s="263">
        <f>D18</f>
        <v>150</v>
      </c>
      <c r="F18" s="264">
        <f>PROPOSTA!F170</f>
        <v>19.616957754069936</v>
      </c>
      <c r="G18" s="264">
        <f>PROPOSTA!F171</f>
        <v>196.16957754069938</v>
      </c>
      <c r="H18" s="264">
        <f>PROPOSTA!F172</f>
        <v>1569.356620325595</v>
      </c>
      <c r="I18" s="264">
        <f>H18*E18</f>
        <v>235403.49304883924</v>
      </c>
      <c r="J18" s="265">
        <f>I18*6</f>
        <v>1412420.9582930354</v>
      </c>
      <c r="K18" s="266"/>
    </row>
    <row r="19" spans="2:11">
      <c r="B19" s="267"/>
      <c r="C19" s="267"/>
      <c r="D19" s="268">
        <f>SUM(D17:D17)</f>
        <v>150</v>
      </c>
      <c r="E19" s="268">
        <f>SUM(E17:E17)</f>
        <v>150</v>
      </c>
      <c r="F19" s="269"/>
      <c r="G19" s="269"/>
      <c r="H19" s="269"/>
      <c r="I19" s="269">
        <f>SUM(I17:I18)</f>
        <v>874922.77582084062</v>
      </c>
      <c r="J19" s="269">
        <f>SUM(J17:J18)</f>
        <v>5249536.6549250437</v>
      </c>
      <c r="K19" s="270"/>
    </row>
    <row r="20" spans="2:11">
      <c r="B20" s="271"/>
      <c r="C20" s="271"/>
      <c r="D20" s="271"/>
      <c r="E20" s="2"/>
      <c r="F20" s="2"/>
      <c r="J20" s="266"/>
    </row>
    <row r="21" spans="2:11">
      <c r="J21" s="266"/>
    </row>
  </sheetData>
  <sheetProtection algorithmName="SHA-512" hashValue="okhAuoQSOz6e5L4o78MaU2XRfmH0tshYb3x/gyhYG/NdMlUjL3yHcSHkmRuX3U26mnVi5XtDh3tgiP4IIVJLEQ==" saltValue="jWQyiDSIyiPxWyyS0aMYoQ==" spinCount="100000" sheet="1" objects="1" scenarios="1"/>
  <mergeCells count="26">
    <mergeCell ref="B2:J2"/>
    <mergeCell ref="B3:J3"/>
    <mergeCell ref="B4:J4"/>
    <mergeCell ref="C6:E6"/>
    <mergeCell ref="F6:H6"/>
    <mergeCell ref="I6:J6"/>
    <mergeCell ref="C7:E7"/>
    <mergeCell ref="F7:H7"/>
    <mergeCell ref="I7:J7"/>
    <mergeCell ref="B8:J8"/>
    <mergeCell ref="C9:E9"/>
    <mergeCell ref="I9:J9"/>
    <mergeCell ref="F9:H9"/>
    <mergeCell ref="C10:E10"/>
    <mergeCell ref="I10:J10"/>
    <mergeCell ref="C11:E11"/>
    <mergeCell ref="F11:G11"/>
    <mergeCell ref="H11:J11"/>
    <mergeCell ref="F10:H10"/>
    <mergeCell ref="C12:E12"/>
    <mergeCell ref="F12:G12"/>
    <mergeCell ref="H12:J12"/>
    <mergeCell ref="C13:E13"/>
    <mergeCell ref="F13:G13"/>
    <mergeCell ref="H13:J13"/>
    <mergeCell ref="B15:J15"/>
  </mergeCells>
  <conditionalFormatting sqref="I6:I7 B8 I9:I10 H11:H13">
    <cfRule type="expression" dxfId="7" priority="3">
      <formula>#REF!</formula>
    </cfRule>
  </conditionalFormatting>
  <dataValidations count="1">
    <dataValidation type="list" allowBlank="1" sqref="I7">
      <formula1>"Valor Global,Mês,Dia,Hora"</formula1>
    </dataValidation>
  </dataValidations>
  <hyperlinks>
    <hyperlink ref="C13" r:id="rId1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opLeftCell="A28" zoomScale="96" zoomScaleNormal="96" workbookViewId="0">
      <selection activeCell="A28" sqref="A1:XFD1048576"/>
    </sheetView>
  </sheetViews>
  <sheetFormatPr defaultColWidth="8.875" defaultRowHeight="16.5"/>
  <cols>
    <col min="1" max="1" width="2.125" style="32" customWidth="1"/>
    <col min="2" max="2" width="4.375" style="229" customWidth="1"/>
    <col min="3" max="3" width="57.125" style="32" customWidth="1"/>
    <col min="4" max="4" width="17.125" style="230" customWidth="1"/>
    <col min="5" max="5" width="20.375" style="32" customWidth="1"/>
    <col min="6" max="6" width="20.5" style="32" customWidth="1"/>
    <col min="7" max="8" width="16.5" style="23" bestFit="1" customWidth="1"/>
    <col min="9" max="16384" width="8.875" style="23"/>
  </cols>
  <sheetData>
    <row r="1" spans="1:6">
      <c r="B1" s="33" t="s">
        <v>209</v>
      </c>
      <c r="C1" s="34"/>
      <c r="D1" s="34"/>
      <c r="E1" s="35"/>
      <c r="F1" s="23"/>
    </row>
    <row r="2" spans="1:6" ht="28.9" customHeight="1">
      <c r="B2" s="36" t="s">
        <v>0</v>
      </c>
      <c r="C2" s="37" t="s">
        <v>1</v>
      </c>
      <c r="D2" s="38" t="s">
        <v>2</v>
      </c>
      <c r="E2" s="38"/>
    </row>
    <row r="3" spans="1:6">
      <c r="B3" s="39" t="s">
        <v>3</v>
      </c>
      <c r="C3" s="37" t="s">
        <v>4</v>
      </c>
      <c r="D3" s="40"/>
      <c r="E3" s="40"/>
    </row>
    <row r="4" spans="1:6">
      <c r="B4" s="36" t="s">
        <v>5</v>
      </c>
      <c r="C4" s="37" t="s">
        <v>6</v>
      </c>
      <c r="D4" s="40" t="s">
        <v>7</v>
      </c>
      <c r="E4" s="40"/>
    </row>
    <row r="5" spans="1:6" ht="57" customHeight="1">
      <c r="B5" s="39" t="s">
        <v>8</v>
      </c>
      <c r="C5" s="37" t="s">
        <v>9</v>
      </c>
      <c r="D5" s="38" t="s">
        <v>10</v>
      </c>
      <c r="E5" s="38"/>
    </row>
    <row r="6" spans="1:6">
      <c r="A6" s="23"/>
      <c r="B6" s="36" t="s">
        <v>11</v>
      </c>
      <c r="C6" s="37" t="s">
        <v>12</v>
      </c>
      <c r="D6" s="41"/>
      <c r="E6" s="41"/>
    </row>
    <row r="7" spans="1:6">
      <c r="B7" s="39" t="s">
        <v>13</v>
      </c>
      <c r="C7" s="32" t="s">
        <v>14</v>
      </c>
      <c r="D7" s="42"/>
      <c r="E7" s="42"/>
    </row>
    <row r="8" spans="1:6">
      <c r="B8" s="39" t="s">
        <v>15</v>
      </c>
      <c r="C8" s="37" t="s">
        <v>16</v>
      </c>
      <c r="D8" s="43" t="s">
        <v>17</v>
      </c>
      <c r="E8" s="43"/>
    </row>
    <row r="9" spans="1:6">
      <c r="A9" s="23"/>
      <c r="B9" s="36" t="s">
        <v>18</v>
      </c>
      <c r="C9" s="37" t="s">
        <v>19</v>
      </c>
      <c r="D9" s="44">
        <v>6</v>
      </c>
      <c r="E9" s="44"/>
    </row>
    <row r="10" spans="1:6">
      <c r="B10" s="39" t="s">
        <v>20</v>
      </c>
      <c r="C10" s="37" t="s">
        <v>21</v>
      </c>
      <c r="D10" s="43" t="s">
        <v>22</v>
      </c>
      <c r="E10" s="43"/>
    </row>
    <row r="11" spans="1:6">
      <c r="B11" s="36" t="s">
        <v>23</v>
      </c>
      <c r="C11" s="37" t="s">
        <v>24</v>
      </c>
      <c r="D11" s="45"/>
      <c r="E11" s="45"/>
    </row>
    <row r="12" spans="1:6">
      <c r="B12" s="36" t="s">
        <v>25</v>
      </c>
      <c r="C12" s="37" t="s">
        <v>26</v>
      </c>
      <c r="D12" s="46">
        <v>1412</v>
      </c>
      <c r="E12" s="47"/>
    </row>
    <row r="13" spans="1:6">
      <c r="A13" s="48"/>
      <c r="B13" s="49"/>
      <c r="C13" s="50"/>
      <c r="D13" s="51"/>
      <c r="E13" s="50"/>
      <c r="F13" s="52"/>
    </row>
    <row r="14" spans="1:6" ht="14.45" customHeight="1">
      <c r="A14" s="53"/>
      <c r="B14" s="33" t="s">
        <v>27</v>
      </c>
      <c r="C14" s="34"/>
      <c r="D14" s="35"/>
      <c r="E14" s="54" t="s">
        <v>28</v>
      </c>
      <c r="F14" s="54" t="s">
        <v>29</v>
      </c>
    </row>
    <row r="15" spans="1:6" ht="45">
      <c r="A15" s="55"/>
      <c r="B15" s="56" t="s">
        <v>0</v>
      </c>
      <c r="C15" s="57" t="s">
        <v>30</v>
      </c>
      <c r="D15" s="58"/>
      <c r="E15" s="59" t="s">
        <v>31</v>
      </c>
      <c r="F15" s="59" t="s">
        <v>32</v>
      </c>
    </row>
    <row r="16" spans="1:6">
      <c r="A16" s="60"/>
      <c r="B16" s="39" t="s">
        <v>3</v>
      </c>
      <c r="C16" s="61" t="s">
        <v>33</v>
      </c>
      <c r="D16" s="62"/>
      <c r="E16" s="63" t="s">
        <v>34</v>
      </c>
      <c r="F16" s="63" t="s">
        <v>34</v>
      </c>
    </row>
    <row r="17" spans="1:7">
      <c r="A17" s="64"/>
      <c r="B17" s="36" t="s">
        <v>5</v>
      </c>
      <c r="C17" s="65" t="s">
        <v>35</v>
      </c>
      <c r="D17" s="66"/>
      <c r="E17" s="67">
        <v>1742</v>
      </c>
      <c r="F17" s="67">
        <v>1742</v>
      </c>
    </row>
    <row r="18" spans="1:7">
      <c r="A18" s="60"/>
      <c r="B18" s="39" t="s">
        <v>8</v>
      </c>
      <c r="C18" s="61" t="s">
        <v>36</v>
      </c>
      <c r="D18" s="62"/>
      <c r="E18" s="68">
        <v>220</v>
      </c>
      <c r="F18" s="68">
        <v>220</v>
      </c>
    </row>
    <row r="19" spans="1:7">
      <c r="A19" s="64"/>
      <c r="B19" s="36" t="s">
        <v>11</v>
      </c>
      <c r="C19" s="65" t="s">
        <v>37</v>
      </c>
      <c r="D19" s="66"/>
      <c r="E19" s="69" t="str">
        <f>IFERROR(VLOOKUP(E$15,'[2]Apoio - Posto'!$A:$J,3,FALSE),"")</f>
        <v/>
      </c>
      <c r="F19" s="69"/>
    </row>
    <row r="20" spans="1:7">
      <c r="A20" s="60"/>
      <c r="B20" s="39" t="s">
        <v>13</v>
      </c>
      <c r="C20" s="61" t="s">
        <v>38</v>
      </c>
      <c r="D20" s="62"/>
      <c r="E20" s="70" t="str">
        <f>IFERROR(VLOOKUP(E$15,'[2]Apoio - Posto'!$A:$J,5,FALSE),"")</f>
        <v/>
      </c>
      <c r="F20" s="70"/>
    </row>
    <row r="21" spans="1:7">
      <c r="A21" s="64"/>
      <c r="B21" s="36" t="s">
        <v>15</v>
      </c>
      <c r="C21" s="65" t="s">
        <v>39</v>
      </c>
      <c r="D21" s="66"/>
      <c r="E21" s="71" t="str">
        <f>IFERROR(VLOOKUP(E$15,'[2]Apoio - Posto'!$A:$J,4,FALSE),"")</f>
        <v/>
      </c>
      <c r="F21" s="71"/>
    </row>
    <row r="22" spans="1:7">
      <c r="A22" s="64"/>
      <c r="B22" s="39" t="s">
        <v>18</v>
      </c>
      <c r="C22" s="61" t="s">
        <v>40</v>
      </c>
      <c r="D22" s="62"/>
      <c r="E22" s="72"/>
      <c r="F22" s="72"/>
    </row>
    <row r="23" spans="1:7">
      <c r="A23" s="60"/>
      <c r="B23" s="36" t="s">
        <v>20</v>
      </c>
      <c r="C23" s="65" t="s">
        <v>41</v>
      </c>
      <c r="D23" s="66"/>
      <c r="E23" s="73" t="s">
        <v>42</v>
      </c>
      <c r="F23" s="73" t="s">
        <v>43</v>
      </c>
    </row>
    <row r="24" spans="1:7">
      <c r="A24" s="64"/>
      <c r="B24" s="36" t="s">
        <v>23</v>
      </c>
      <c r="C24" s="61" t="s">
        <v>44</v>
      </c>
      <c r="D24" s="62"/>
      <c r="E24" s="63">
        <v>150</v>
      </c>
      <c r="F24" s="63">
        <v>150</v>
      </c>
    </row>
    <row r="25" spans="1:7">
      <c r="A25" s="60"/>
      <c r="B25" s="39" t="s">
        <v>25</v>
      </c>
      <c r="C25" s="61" t="s">
        <v>45</v>
      </c>
      <c r="D25" s="62"/>
      <c r="E25" s="63">
        <f>IFERROR(VLOOKUP(E23,'[2]Apoio - Regime de Trabalho'!$A:$I,2,FALSE),"")</f>
        <v>1</v>
      </c>
      <c r="F25" s="63">
        <v>1</v>
      </c>
    </row>
    <row r="26" spans="1:7">
      <c r="A26" s="60"/>
      <c r="B26" s="39" t="s">
        <v>46</v>
      </c>
      <c r="C26" s="61" t="s">
        <v>47</v>
      </c>
      <c r="D26" s="62"/>
      <c r="E26" s="63">
        <f>IFERROR(IF(E15="","",E25*E24),"")</f>
        <v>150</v>
      </c>
      <c r="F26" s="63">
        <v>150</v>
      </c>
    </row>
    <row r="27" spans="1:7">
      <c r="B27" s="74"/>
      <c r="C27" s="75"/>
      <c r="D27" s="76"/>
      <c r="E27" s="77"/>
      <c r="F27" s="77"/>
    </row>
    <row r="28" spans="1:7" ht="14.45" customHeight="1">
      <c r="A28" s="78"/>
      <c r="B28" s="33" t="s">
        <v>48</v>
      </c>
      <c r="C28" s="34"/>
      <c r="D28" s="34"/>
      <c r="E28" s="34"/>
      <c r="F28" s="35"/>
    </row>
    <row r="29" spans="1:7">
      <c r="A29" s="79"/>
      <c r="B29" s="80" t="s">
        <v>0</v>
      </c>
      <c r="C29" s="81" t="s">
        <v>49</v>
      </c>
      <c r="D29" s="82"/>
      <c r="E29" s="83">
        <f>E17/220*200</f>
        <v>1583.6363636363635</v>
      </c>
      <c r="F29" s="83">
        <f>F17/220*80</f>
        <v>633.4545454545455</v>
      </c>
      <c r="G29" s="30"/>
    </row>
    <row r="30" spans="1:7">
      <c r="A30" s="79"/>
      <c r="B30" s="84" t="s">
        <v>3</v>
      </c>
      <c r="C30" s="85" t="s">
        <v>50</v>
      </c>
      <c r="D30" s="86"/>
      <c r="E30" s="87"/>
      <c r="F30" s="87"/>
    </row>
    <row r="31" spans="1:7">
      <c r="A31" s="79"/>
      <c r="B31" s="88"/>
      <c r="C31" s="89" t="s">
        <v>51</v>
      </c>
      <c r="D31" s="90"/>
      <c r="E31" s="91" t="str">
        <f>IFERROR(VLOOKUP(E$15,'[2]Apoio - Posto'!$A:$AA,15,FALSE),"")</f>
        <v/>
      </c>
      <c r="F31" s="91" t="str">
        <f>IFERROR(VLOOKUP(F$15,'[2]Apoio - Posto'!$A:$AA,15,FALSE),"")</f>
        <v/>
      </c>
    </row>
    <row r="32" spans="1:7">
      <c r="A32" s="79"/>
      <c r="B32" s="92"/>
      <c r="C32" s="93"/>
      <c r="D32" s="94" t="s">
        <v>52</v>
      </c>
      <c r="E32" s="9" t="str">
        <f>IFERROR((E29)*E31,"")</f>
        <v/>
      </c>
      <c r="F32" s="9" t="str">
        <f t="shared" ref="F32" si="0">IFERROR((F29)*F31,"")</f>
        <v/>
      </c>
    </row>
    <row r="33" spans="1:6">
      <c r="A33" s="79"/>
      <c r="B33" s="95" t="s">
        <v>5</v>
      </c>
      <c r="C33" s="96" t="s">
        <v>53</v>
      </c>
      <c r="D33" s="97"/>
      <c r="E33" s="3"/>
      <c r="F33" s="3"/>
    </row>
    <row r="34" spans="1:6">
      <c r="A34" s="79"/>
      <c r="B34" s="95"/>
      <c r="C34" s="98" t="s">
        <v>54</v>
      </c>
      <c r="D34" s="99"/>
      <c r="E34" s="100"/>
      <c r="F34" s="100" t="str">
        <f>IFERROR(VLOOKUP(F$15,'[2]Apoio - Posto'!$A:$AA,14,FALSE),"")</f>
        <v/>
      </c>
    </row>
    <row r="35" spans="1:6">
      <c r="A35" s="79"/>
      <c r="B35" s="95"/>
      <c r="C35" s="101" t="s">
        <v>55</v>
      </c>
      <c r="D35" s="102"/>
      <c r="E35" s="103"/>
      <c r="F35" s="103"/>
    </row>
    <row r="36" spans="1:6">
      <c r="A36" s="79"/>
      <c r="B36" s="104"/>
      <c r="C36" s="105"/>
      <c r="D36" s="94" t="s">
        <v>52</v>
      </c>
      <c r="E36" s="9">
        <f>IF(E17="","",IFERROR(IF(E34="Salário Base",E$29,IF(E34="Salário Mínimo",$D$12,0))*E35,""))</f>
        <v>0</v>
      </c>
      <c r="F36" s="9">
        <f t="shared" ref="F36" si="1">IF(F17="","",IFERROR(IF(F34="Salário Base",F$29,IF(F34="Salário Mínimo",$D$12,0))*F35,""))</f>
        <v>0</v>
      </c>
    </row>
    <row r="37" spans="1:6">
      <c r="A37" s="106"/>
      <c r="B37" s="84" t="s">
        <v>8</v>
      </c>
      <c r="C37" s="85" t="s">
        <v>56</v>
      </c>
      <c r="D37" s="107"/>
      <c r="E37" s="4"/>
      <c r="F37" s="4"/>
    </row>
    <row r="38" spans="1:6">
      <c r="A38" s="106"/>
      <c r="B38" s="88"/>
      <c r="C38" s="108" t="s">
        <v>55</v>
      </c>
      <c r="D38" s="90"/>
      <c r="E38" s="109"/>
      <c r="F38" s="109"/>
    </row>
    <row r="39" spans="1:6">
      <c r="A39" s="106"/>
      <c r="B39" s="92"/>
      <c r="C39" s="105"/>
      <c r="D39" s="94" t="s">
        <v>52</v>
      </c>
      <c r="E39" s="9">
        <f>IFERROR(E38*E$29,"")</f>
        <v>0</v>
      </c>
      <c r="F39" s="9">
        <f t="shared" ref="F39" si="2">IFERROR(F38*F$29,"")</f>
        <v>0</v>
      </c>
    </row>
    <row r="40" spans="1:6">
      <c r="A40" s="79"/>
      <c r="B40" s="95" t="s">
        <v>11</v>
      </c>
      <c r="C40" s="110" t="s">
        <v>57</v>
      </c>
      <c r="D40" s="111"/>
      <c r="E40" s="5"/>
      <c r="F40" s="5"/>
    </row>
    <row r="41" spans="1:6">
      <c r="A41" s="79"/>
      <c r="B41" s="95"/>
      <c r="C41" s="98" t="s">
        <v>58</v>
      </c>
      <c r="D41" s="112"/>
      <c r="E41" s="113" t="str">
        <f>IF(AND(E16=5173,E23="12x36 Noturno"),8,"")</f>
        <v/>
      </c>
      <c r="F41" s="113" t="str">
        <f t="shared" ref="F41" si="3">IF(AND(F16=5173,F23="12x36 Noturno"),8,"")</f>
        <v/>
      </c>
    </row>
    <row r="42" spans="1:6">
      <c r="A42" s="79"/>
      <c r="B42" s="95"/>
      <c r="C42" s="101" t="s">
        <v>59</v>
      </c>
      <c r="D42" s="114"/>
      <c r="E42" s="115" t="str">
        <f>IF(E41="","",VLOOKUP(E23,'[2]Apoio - Regime de Trabalho'!$A:$I,7,FALSE))</f>
        <v/>
      </c>
      <c r="F42" s="115" t="str">
        <f>IF(F41="","",VLOOKUP(F23,'[2]Apoio - Regime de Trabalho'!$A:$I,7,FALSE))</f>
        <v/>
      </c>
    </row>
    <row r="43" spans="1:6">
      <c r="A43" s="79"/>
      <c r="B43" s="104"/>
      <c r="C43" s="116"/>
      <c r="D43" s="94" t="s">
        <v>52</v>
      </c>
      <c r="E43" s="117" t="str">
        <f>IFERROR(SUM(E$29,E$32,E$36)/(VLOOKUP(E$23,'[2]Apoio - Regime de Trabalho'!$A:$I,8,FALSE))*20%*E$41*E$42,"")</f>
        <v/>
      </c>
      <c r="F43" s="117" t="str">
        <f>IFERROR(SUM(F$29,F$32,F$36)/(VLOOKUP(F$23,'[2]Apoio - Regime de Trabalho'!$A:$I,8,FALSE))*20%*F$41*F$42,"")</f>
        <v/>
      </c>
    </row>
    <row r="44" spans="1:6">
      <c r="A44" s="79"/>
      <c r="B44" s="118" t="s">
        <v>13</v>
      </c>
      <c r="C44" s="119" t="s">
        <v>60</v>
      </c>
      <c r="D44" s="107"/>
      <c r="E44" s="6"/>
      <c r="F44" s="6"/>
    </row>
    <row r="45" spans="1:6">
      <c r="A45" s="120"/>
      <c r="B45" s="121"/>
      <c r="C45" s="122" t="s">
        <v>61</v>
      </c>
      <c r="D45" s="90"/>
      <c r="E45" s="123" t="str">
        <f>IF(E41="","",E42*E41*('[2]Apoio - Notas Explicativas'!$D$9/'[2]Apoio - Notas Explicativas'!$D$10-1)
*IF(AND(E16=5173,E23="12x36 Noturno"),0,1))</f>
        <v/>
      </c>
      <c r="F45" s="123" t="str">
        <f>IF(F41="","",F42*F41*('[2]Apoio - Notas Explicativas'!$D$9/'[2]Apoio - Notas Explicativas'!$D$10-1)
*IF(AND(F16=5173,F23="12x36 Noturno"),0,1))</f>
        <v/>
      </c>
    </row>
    <row r="46" spans="1:6">
      <c r="A46" s="120"/>
      <c r="B46" s="124"/>
      <c r="C46" s="125"/>
      <c r="D46" s="94" t="s">
        <v>52</v>
      </c>
      <c r="E46" s="9" t="str">
        <f>IFERROR(E45*(SUM(E$29,E$32,E$36)/(VLOOKUP(E$23,'[2]Apoio - Regime de Trabalho'!$A:$I,8,FALSE))*120%),"")</f>
        <v/>
      </c>
      <c r="F46" s="9" t="str">
        <f>IFERROR(F45*(SUM(F$29,F$32,F$36)/(VLOOKUP(F$23,'[2]Apoio - Regime de Trabalho'!$A:$I,8,FALSE))*120%),"")</f>
        <v/>
      </c>
    </row>
    <row r="47" spans="1:6">
      <c r="A47" s="120"/>
      <c r="B47" s="126" t="s">
        <v>15</v>
      </c>
      <c r="C47" s="127" t="s">
        <v>62</v>
      </c>
      <c r="D47" s="107"/>
      <c r="E47" s="4"/>
      <c r="F47" s="4"/>
    </row>
    <row r="48" spans="1:6">
      <c r="A48" s="79"/>
      <c r="B48" s="95"/>
      <c r="C48" s="98" t="s">
        <v>55</v>
      </c>
      <c r="D48" s="128"/>
      <c r="E48" s="129">
        <v>1</v>
      </c>
      <c r="F48" s="129" t="str">
        <f t="shared" ref="F48" si="4">IF(F$23="56h (7 dias)",100%,
IF(OR(F16=7823,F16=7825),50%,""))</f>
        <v/>
      </c>
    </row>
    <row r="49" spans="1:7">
      <c r="A49" s="79"/>
      <c r="B49" s="95"/>
      <c r="C49" s="101" t="s">
        <v>63</v>
      </c>
      <c r="D49" s="130"/>
      <c r="E49" s="131">
        <v>8</v>
      </c>
      <c r="F49" s="131" t="str">
        <f t="shared" ref="F49" si="5">IF(OR(F$23="56h (7 dias)",F16=7823,F16=7825),8,"")</f>
        <v/>
      </c>
    </row>
    <row r="50" spans="1:7">
      <c r="A50" s="79"/>
      <c r="B50" s="104"/>
      <c r="C50" s="116"/>
      <c r="D50" s="94" t="s">
        <v>52</v>
      </c>
      <c r="E50" s="9">
        <f>IFERROR(SUM(E$29,E$32,E$36,E$43)/(VLOOKUP(E$23,'[2]Apoio - Regime de Trabalho'!$A:$I,8,FALSE))*(1+E$48)*E$49,"")</f>
        <v>126.69090909090909</v>
      </c>
      <c r="F50" s="9" t="str">
        <f>IFERROR(SUM(F$29,F$32,F$36,F$43)/(VLOOKUP(F$23,'[2]Apoio - Regime de Trabalho'!$A:$I,8,FALSE))*(1+F$48)*F$49,"")</f>
        <v/>
      </c>
    </row>
    <row r="51" spans="1:7">
      <c r="A51" s="79"/>
      <c r="B51" s="118" t="s">
        <v>18</v>
      </c>
      <c r="C51" s="119" t="s">
        <v>64</v>
      </c>
      <c r="D51" s="107"/>
      <c r="E51" s="4"/>
      <c r="F51" s="4"/>
    </row>
    <row r="52" spans="1:7">
      <c r="A52" s="79"/>
      <c r="B52" s="121"/>
      <c r="C52" s="122" t="s">
        <v>65</v>
      </c>
      <c r="D52" s="90"/>
      <c r="E52" s="7">
        <f>IF(E15="","",IFERROR(SUM(E$43,E46)*20%,""))</f>
        <v>0</v>
      </c>
      <c r="F52" s="7">
        <f t="shared" ref="F52" si="6">IF(F15="","",IFERROR(SUM(F$43,F46)*20%,""))</f>
        <v>0</v>
      </c>
    </row>
    <row r="53" spans="1:7">
      <c r="A53" s="79"/>
      <c r="B53" s="121"/>
      <c r="C53" s="132" t="s">
        <v>66</v>
      </c>
      <c r="D53" s="130" t="s">
        <v>67</v>
      </c>
      <c r="E53" s="8">
        <f>IFERROR(IF(E15="","",IF(D53="Não",0,E50*20%)),"")</f>
        <v>25.33818181818182</v>
      </c>
      <c r="F53" s="8" t="str">
        <f t="shared" ref="F53" si="7">IFERROR(IF(F15="","",IF(E53="Não",0,F50*20%)),"")</f>
        <v/>
      </c>
    </row>
    <row r="54" spans="1:7">
      <c r="A54" s="79"/>
      <c r="B54" s="121"/>
      <c r="C54" s="132" t="s">
        <v>68</v>
      </c>
      <c r="D54" s="130"/>
      <c r="E54" s="8" t="str">
        <f>IF(E17="","",IFERROR(E$56*20%,""))</f>
        <v/>
      </c>
      <c r="F54" s="8" t="str">
        <f t="shared" ref="F54" si="8">IF(F17="","",IFERROR(F$56*20%,""))</f>
        <v/>
      </c>
    </row>
    <row r="55" spans="1:7">
      <c r="A55" s="79"/>
      <c r="B55" s="124"/>
      <c r="C55" s="125"/>
      <c r="D55" s="94" t="s">
        <v>52</v>
      </c>
      <c r="E55" s="9">
        <f>IF(SUM(E52:E54)=0,"",SUM(E52:E54))</f>
        <v>25.33818181818182</v>
      </c>
      <c r="F55" s="9" t="str">
        <f t="shared" ref="F55" si="9">IF(SUM(F52:F54)=0,"",SUM(F52:F54))</f>
        <v/>
      </c>
    </row>
    <row r="56" spans="1:7">
      <c r="A56" s="79"/>
      <c r="B56" s="133" t="s">
        <v>20</v>
      </c>
      <c r="C56" s="134" t="s">
        <v>69</v>
      </c>
      <c r="D56" s="135"/>
      <c r="E56" s="67" t="str">
        <f>IFERROR(IFERROR(VLOOKUP(E$15,'[2]Apoio - Posto'!$A:$AA,12,FALSE),"")*VLOOKUP(E23,'[2]Apoio - Regime de Trabalho'!$A:$I,7,FALSE),"")</f>
        <v/>
      </c>
      <c r="F56" s="67" t="str">
        <f>IFERROR(IFERROR(VLOOKUP(F$15,'[2]Apoio - Posto'!$A:$AA,12,FALSE),"")*VLOOKUP(F23,'[2]Apoio - Regime de Trabalho'!$A:$I,7,FALSE),"")</f>
        <v/>
      </c>
    </row>
    <row r="57" spans="1:7">
      <c r="A57" s="136"/>
      <c r="B57" s="137" t="s">
        <v>23</v>
      </c>
      <c r="C57" s="138" t="s">
        <v>70</v>
      </c>
      <c r="D57" s="139"/>
      <c r="E57" s="140"/>
      <c r="F57" s="140"/>
    </row>
    <row r="58" spans="1:7" ht="14.45" customHeight="1">
      <c r="A58" s="141"/>
      <c r="B58" s="33" t="s">
        <v>71</v>
      </c>
      <c r="C58" s="34"/>
      <c r="D58" s="35"/>
      <c r="E58" s="142">
        <f>IF(E17="","",SUM(E29,E32,E36,E39,E43,E46,E50,E55,E56,E57))</f>
        <v>1735.6654545454544</v>
      </c>
      <c r="F58" s="143">
        <f t="shared" ref="F58" si="10">IF(F17="","",SUM(F29,F32,F36,F39,F43,F46,F50,F55,F56,F57))</f>
        <v>633.4545454545455</v>
      </c>
    </row>
    <row r="59" spans="1:7">
      <c r="A59" s="144"/>
      <c r="B59" s="145"/>
      <c r="C59" s="145"/>
      <c r="D59" s="146"/>
      <c r="E59" s="147"/>
      <c r="F59" s="147"/>
    </row>
    <row r="60" spans="1:7" ht="14.45" customHeight="1">
      <c r="A60" s="79"/>
      <c r="B60" s="33" t="s">
        <v>72</v>
      </c>
      <c r="C60" s="34"/>
      <c r="D60" s="34"/>
      <c r="E60" s="34"/>
      <c r="F60" s="35"/>
    </row>
    <row r="61" spans="1:7">
      <c r="A61" s="23"/>
      <c r="B61" s="23"/>
      <c r="C61" s="23"/>
      <c r="D61" s="23"/>
      <c r="E61" s="23"/>
      <c r="F61" s="23"/>
    </row>
    <row r="62" spans="1:7" ht="14.45" customHeight="1">
      <c r="A62" s="148"/>
      <c r="B62" s="149" t="s">
        <v>73</v>
      </c>
      <c r="C62" s="150"/>
      <c r="D62" s="150"/>
      <c r="E62" s="150"/>
      <c r="F62" s="151"/>
    </row>
    <row r="63" spans="1:7">
      <c r="A63" s="79"/>
      <c r="B63" s="152" t="s">
        <v>0</v>
      </c>
      <c r="C63" s="116" t="s">
        <v>74</v>
      </c>
      <c r="D63" s="153">
        <f>IFERROR(INDEX('[2]Apoio - Notas Explicativas'!Q:Q,MATCH(C63,'[2]Apoio - Notas Explicativas'!C:C,0)),"")</f>
        <v>8.3299999999999999E-2</v>
      </c>
      <c r="E63" s="83">
        <f>IFERROR($D63*E$58,"")</f>
        <v>144.58093236363635</v>
      </c>
      <c r="F63" s="83">
        <f t="shared" ref="F63:F65" si="11">IFERROR($D63*F$58,"")</f>
        <v>52.766763636363642</v>
      </c>
    </row>
    <row r="64" spans="1:7">
      <c r="A64" s="79"/>
      <c r="B64" s="152" t="s">
        <v>3</v>
      </c>
      <c r="C64" s="116" t="s">
        <v>75</v>
      </c>
      <c r="D64" s="153">
        <f>IFERROR(INDEX('[2]Apoio - Notas Explicativas'!Q:Q,MATCH(C64,'[2]Apoio - Notas Explicativas'!C:C,0)),"")</f>
        <v>0.1111</v>
      </c>
      <c r="E64" s="83">
        <f>IFERROR($D64*E$58,"")</f>
        <v>192.83243199999998</v>
      </c>
      <c r="F64" s="83">
        <f t="shared" si="11"/>
        <v>70.376800000000003</v>
      </c>
      <c r="G64" s="154"/>
    </row>
    <row r="65" spans="1:8">
      <c r="A65" s="79"/>
      <c r="B65" s="152" t="s">
        <v>5</v>
      </c>
      <c r="C65" s="116" t="s">
        <v>76</v>
      </c>
      <c r="D65" s="153">
        <f>IFERROR(INDEX('[2]Apoio - Notas Explicativas'!Q:Q,MATCH(C65,'[2]Apoio - Notas Explicativas'!C:C,0)),"")</f>
        <v>7.1599999999999997E-2</v>
      </c>
      <c r="E65" s="83">
        <f>IFERROR($D65*E$58,"")</f>
        <v>124.27364654545453</v>
      </c>
      <c r="F65" s="83">
        <f t="shared" si="11"/>
        <v>45.355345454545457</v>
      </c>
      <c r="G65" s="154">
        <f>SUM(D63:D65)</f>
        <v>0.26600000000000001</v>
      </c>
    </row>
    <row r="66" spans="1:8" ht="14.45" customHeight="1">
      <c r="A66" s="155"/>
      <c r="B66" s="149" t="s">
        <v>77</v>
      </c>
      <c r="C66" s="150"/>
      <c r="D66" s="151"/>
      <c r="E66" s="156">
        <f>IF(SUM(E63:E65)=0,"",SUM(E63:E65))</f>
        <v>461.68701090909087</v>
      </c>
      <c r="F66" s="156">
        <f t="shared" ref="F66" si="12">IF(SUM(F63:F65)=0,"",SUM(F63:F65))</f>
        <v>168.49890909090908</v>
      </c>
    </row>
    <row r="67" spans="1:8">
      <c r="A67" s="23"/>
      <c r="B67" s="23"/>
      <c r="C67" s="23"/>
      <c r="D67" s="23"/>
      <c r="E67" s="23"/>
      <c r="F67" s="23"/>
    </row>
    <row r="68" spans="1:8" ht="14.45" customHeight="1">
      <c r="A68" s="155"/>
      <c r="B68" s="149" t="s">
        <v>78</v>
      </c>
      <c r="C68" s="150"/>
      <c r="D68" s="150"/>
      <c r="E68" s="150"/>
      <c r="F68" s="151"/>
    </row>
    <row r="69" spans="1:8">
      <c r="A69" s="155"/>
      <c r="B69" s="152" t="s">
        <v>0</v>
      </c>
      <c r="C69" s="116" t="s">
        <v>79</v>
      </c>
      <c r="D69" s="153">
        <f>IFERROR(INDEX('[2]Apoio - Notas Explicativas'!Q:Q,MATCH(C69,'[2]Apoio - Notas Explicativas'!C:C,0)),"")</f>
        <v>0.2</v>
      </c>
      <c r="E69" s="83">
        <f t="shared" ref="E69:F74" si="13">IFERROR($D69*E$58,"")</f>
        <v>347.13309090909092</v>
      </c>
      <c r="F69" s="157">
        <f t="shared" si="13"/>
        <v>126.6909090909091</v>
      </c>
    </row>
    <row r="70" spans="1:8">
      <c r="A70" s="79"/>
      <c r="B70" s="152" t="s">
        <v>3</v>
      </c>
      <c r="C70" s="134" t="s">
        <v>80</v>
      </c>
      <c r="D70" s="153">
        <v>1.4999999999999999E-2</v>
      </c>
      <c r="E70" s="83">
        <f t="shared" si="13"/>
        <v>26.034981818181816</v>
      </c>
      <c r="F70" s="157">
        <f t="shared" si="13"/>
        <v>9.5018181818181819</v>
      </c>
    </row>
    <row r="71" spans="1:8">
      <c r="A71" s="79"/>
      <c r="B71" s="152" t="s">
        <v>5</v>
      </c>
      <c r="C71" s="116" t="s">
        <v>81</v>
      </c>
      <c r="D71" s="153">
        <v>0.01</v>
      </c>
      <c r="E71" s="83">
        <f t="shared" si="13"/>
        <v>17.356654545454543</v>
      </c>
      <c r="F71" s="157">
        <f t="shared" si="13"/>
        <v>6.3345454545454549</v>
      </c>
    </row>
    <row r="72" spans="1:8">
      <c r="A72" s="79"/>
      <c r="B72" s="152" t="s">
        <v>8</v>
      </c>
      <c r="C72" s="116" t="s">
        <v>82</v>
      </c>
      <c r="D72" s="153">
        <v>2E-3</v>
      </c>
      <c r="E72" s="83">
        <f t="shared" si="13"/>
        <v>3.4713309090909088</v>
      </c>
      <c r="F72" s="157">
        <f t="shared" si="13"/>
        <v>1.266909090909091</v>
      </c>
    </row>
    <row r="73" spans="1:8">
      <c r="A73" s="79"/>
      <c r="B73" s="152" t="s">
        <v>11</v>
      </c>
      <c r="C73" s="116" t="s">
        <v>83</v>
      </c>
      <c r="D73" s="153">
        <v>2.5000000000000001E-2</v>
      </c>
      <c r="E73" s="83">
        <f t="shared" si="13"/>
        <v>43.391636363636366</v>
      </c>
      <c r="F73" s="157">
        <f t="shared" si="13"/>
        <v>15.836363636363638</v>
      </c>
    </row>
    <row r="74" spans="1:8">
      <c r="A74" s="79"/>
      <c r="B74" s="152" t="s">
        <v>13</v>
      </c>
      <c r="C74" s="116" t="s">
        <v>84</v>
      </c>
      <c r="D74" s="153">
        <v>0.08</v>
      </c>
      <c r="E74" s="83">
        <f t="shared" si="13"/>
        <v>138.85323636363634</v>
      </c>
      <c r="F74" s="157">
        <f t="shared" si="13"/>
        <v>50.676363636363639</v>
      </c>
      <c r="G74" s="30"/>
      <c r="H74" s="30"/>
    </row>
    <row r="75" spans="1:8">
      <c r="A75" s="79"/>
      <c r="B75" s="158" t="s">
        <v>15</v>
      </c>
      <c r="C75" s="159" t="str">
        <f>CONCATENATE("GILL/RAT (RAT ",D76," x FAP ",D77,")")</f>
        <v>GILL/RAT (RAT 0,02 x FAP 0,5)</v>
      </c>
      <c r="D75" s="86"/>
      <c r="E75" s="6"/>
      <c r="F75" s="10"/>
      <c r="G75" s="30"/>
      <c r="H75" s="30"/>
    </row>
    <row r="76" spans="1:8">
      <c r="A76" s="79"/>
      <c r="B76" s="160"/>
      <c r="C76" s="161" t="s">
        <v>85</v>
      </c>
      <c r="D76" s="11">
        <v>0.02</v>
      </c>
      <c r="E76" s="11"/>
      <c r="F76" s="11"/>
    </row>
    <row r="77" spans="1:8">
      <c r="A77" s="79"/>
      <c r="B77" s="162"/>
      <c r="C77" s="163" t="s">
        <v>86</v>
      </c>
      <c r="D77" s="164">
        <v>0.5</v>
      </c>
      <c r="E77" s="12"/>
      <c r="F77" s="12"/>
    </row>
    <row r="78" spans="1:8">
      <c r="A78" s="79"/>
      <c r="B78" s="165"/>
      <c r="C78" s="116"/>
      <c r="D78" s="166">
        <f>D77*D76</f>
        <v>0.01</v>
      </c>
      <c r="E78" s="167">
        <f>IFERROR($D78*E$58,"")</f>
        <v>17.356654545454543</v>
      </c>
      <c r="F78" s="167">
        <f t="shared" ref="F78:F79" si="14">IFERROR($D78*F$58,"")</f>
        <v>6.3345454545454549</v>
      </c>
      <c r="G78" s="154"/>
    </row>
    <row r="79" spans="1:8">
      <c r="A79" s="155"/>
      <c r="B79" s="152" t="s">
        <v>18</v>
      </c>
      <c r="C79" s="116" t="s">
        <v>87</v>
      </c>
      <c r="D79" s="153">
        <v>6.0000000000000001E-3</v>
      </c>
      <c r="E79" s="157">
        <f>IFERROR($D79*E$58,"")</f>
        <v>10.413992727272726</v>
      </c>
      <c r="F79" s="157">
        <f t="shared" si="14"/>
        <v>3.800727272727273</v>
      </c>
      <c r="G79" s="154">
        <f>SUM(D69:D74,D78,D79)</f>
        <v>0.34800000000000009</v>
      </c>
    </row>
    <row r="80" spans="1:8" ht="14.45" customHeight="1">
      <c r="A80" s="155"/>
      <c r="B80" s="149" t="s">
        <v>88</v>
      </c>
      <c r="C80" s="150"/>
      <c r="D80" s="151"/>
      <c r="E80" s="156">
        <f>IF((SUM(E69:E74,E78,E79))=0,"",(SUM(E69:E74,E78,E79)))</f>
        <v>604.01157818181809</v>
      </c>
      <c r="F80" s="156">
        <f t="shared" ref="F80" si="15">IF((SUM(F69:F74,F78,F79))=0,"",(SUM(F69:F74,F78,F79)))</f>
        <v>220.44218181818187</v>
      </c>
    </row>
    <row r="81" spans="1:6">
      <c r="A81" s="23"/>
      <c r="B81" s="23"/>
      <c r="C81" s="23"/>
      <c r="D81" s="23"/>
      <c r="E81" s="23"/>
      <c r="F81" s="23"/>
    </row>
    <row r="82" spans="1:6" ht="14.45" customHeight="1">
      <c r="A82" s="155"/>
      <c r="B82" s="149" t="s">
        <v>89</v>
      </c>
      <c r="C82" s="150"/>
      <c r="D82" s="150"/>
      <c r="E82" s="150"/>
      <c r="F82" s="151"/>
    </row>
    <row r="83" spans="1:6">
      <c r="A83" s="79"/>
      <c r="B83" s="158" t="s">
        <v>0</v>
      </c>
      <c r="C83" s="159" t="s">
        <v>90</v>
      </c>
      <c r="D83" s="168"/>
      <c r="E83" s="13"/>
      <c r="F83" s="13"/>
    </row>
    <row r="84" spans="1:6">
      <c r="A84" s="79"/>
      <c r="B84" s="160"/>
      <c r="C84" s="161" t="s">
        <v>91</v>
      </c>
      <c r="D84" s="169"/>
      <c r="E84" s="170">
        <f>IF(E15="","",4.8)</f>
        <v>4.8</v>
      </c>
      <c r="F84" s="170">
        <f t="shared" ref="F84" si="16">IF(F15="","",4.8)</f>
        <v>4.8</v>
      </c>
    </row>
    <row r="85" spans="1:6">
      <c r="A85" s="79"/>
      <c r="B85" s="160"/>
      <c r="C85" s="101" t="s">
        <v>92</v>
      </c>
      <c r="D85" s="171"/>
      <c r="E85" s="172">
        <f>IF(E15="","",2)</f>
        <v>2</v>
      </c>
      <c r="F85" s="172">
        <f t="shared" ref="F85" si="17">IF(F15="","",2)</f>
        <v>2</v>
      </c>
    </row>
    <row r="86" spans="1:6">
      <c r="A86" s="79"/>
      <c r="B86" s="160"/>
      <c r="C86" s="101" t="s">
        <v>93</v>
      </c>
      <c r="D86" s="173"/>
      <c r="E86" s="174">
        <f>IFERROR(IF(E15="","",VLOOKUP(E23,'[2]Apoio - Regime de Trabalho'!$A:$G,7,FALSE)),"")</f>
        <v>22</v>
      </c>
      <c r="F86" s="174">
        <f>IFERROR(IF(F15="","",VLOOKUP(F23,'[2]Apoio - Regime de Trabalho'!$A:$G,7,FALSE)),"")</f>
        <v>8</v>
      </c>
    </row>
    <row r="87" spans="1:6">
      <c r="A87" s="79"/>
      <c r="B87" s="160"/>
      <c r="C87" s="101" t="s">
        <v>94</v>
      </c>
      <c r="D87" s="171"/>
      <c r="E87" s="175">
        <f>IF(E15="","",IFERROR(VLOOKUP(E$15,'[2]Apoio - Posto'!$A:$AA,16,FALSE),6%))</f>
        <v>0.06</v>
      </c>
      <c r="F87" s="175">
        <f>IF(F15="","",IFERROR(VLOOKUP(F$15,'[2]Apoio - Posto'!$A:$AA,16,FALSE),6%))</f>
        <v>0.06</v>
      </c>
    </row>
    <row r="88" spans="1:6">
      <c r="A88" s="79"/>
      <c r="B88" s="165"/>
      <c r="C88" s="176"/>
      <c r="D88" s="177" t="s">
        <v>52</v>
      </c>
      <c r="E88" s="117">
        <f>IFERROR((E84*E85*E86)-(E$87*E$29),"")</f>
        <v>116.18181818181819</v>
      </c>
      <c r="F88" s="117">
        <f>IFERROR((F84*F85*F86)-(F$87*F$29),"")</f>
        <v>38.792727272727269</v>
      </c>
    </row>
    <row r="89" spans="1:6">
      <c r="A89" s="79"/>
      <c r="B89" s="158" t="s">
        <v>3</v>
      </c>
      <c r="C89" s="178" t="s">
        <v>95</v>
      </c>
      <c r="D89" s="179"/>
      <c r="E89" s="14"/>
      <c r="F89" s="14"/>
    </row>
    <row r="90" spans="1:6">
      <c r="A90" s="79"/>
      <c r="B90" s="160"/>
      <c r="C90" s="180" t="s">
        <v>96</v>
      </c>
      <c r="D90" s="169"/>
      <c r="E90" s="170">
        <v>27.8</v>
      </c>
      <c r="F90" s="170">
        <v>27.8</v>
      </c>
    </row>
    <row r="91" spans="1:6">
      <c r="A91" s="79"/>
      <c r="B91" s="160"/>
      <c r="C91" s="132" t="s">
        <v>97</v>
      </c>
      <c r="D91" s="173"/>
      <c r="E91" s="174">
        <f>IFERROR(IF(E15="","",VLOOKUP(E23,'[2]Apoio - Regime de Trabalho'!$A:$G,7,FALSE)),"")</f>
        <v>22</v>
      </c>
      <c r="F91" s="174">
        <f>IFERROR(IF(F15="","",VLOOKUP(F23,'[2]Apoio - Regime de Trabalho'!$A:$G,7,FALSE)),"")</f>
        <v>8</v>
      </c>
    </row>
    <row r="92" spans="1:6">
      <c r="A92" s="79"/>
      <c r="B92" s="160"/>
      <c r="C92" s="132" t="s">
        <v>98</v>
      </c>
      <c r="D92" s="173"/>
      <c r="E92" s="181">
        <v>0.2</v>
      </c>
      <c r="F92" s="181">
        <v>0.2</v>
      </c>
    </row>
    <row r="93" spans="1:6">
      <c r="A93" s="79"/>
      <c r="B93" s="165"/>
      <c r="C93" s="176"/>
      <c r="D93" s="177" t="s">
        <v>52</v>
      </c>
      <c r="E93" s="9">
        <f>IFERROR((E90*E91)-(E$90*E$91*E$92),"")</f>
        <v>489.28000000000003</v>
      </c>
      <c r="F93" s="9">
        <f t="shared" ref="F93" si="18">IFERROR((F90*F91)-(F$90*F$91*F$92),"")</f>
        <v>177.92000000000002</v>
      </c>
    </row>
    <row r="94" spans="1:6">
      <c r="A94" s="79"/>
      <c r="B94" s="158" t="s">
        <v>5</v>
      </c>
      <c r="C94" s="127" t="s">
        <v>99</v>
      </c>
      <c r="D94" s="179"/>
      <c r="E94" s="15"/>
      <c r="F94" s="15"/>
    </row>
    <row r="95" spans="1:6">
      <c r="A95" s="79"/>
      <c r="B95" s="160"/>
      <c r="C95" s="182" t="s">
        <v>100</v>
      </c>
      <c r="D95" s="183"/>
      <c r="E95" s="184"/>
      <c r="F95" s="184"/>
    </row>
    <row r="96" spans="1:6">
      <c r="A96" s="79"/>
      <c r="B96" s="160"/>
      <c r="C96" s="185" t="s">
        <v>98</v>
      </c>
      <c r="D96" s="173"/>
      <c r="E96" s="181"/>
      <c r="F96" s="181"/>
    </row>
    <row r="97" spans="1:6">
      <c r="A97" s="79"/>
      <c r="B97" s="165"/>
      <c r="C97" s="176"/>
      <c r="D97" s="177" t="s">
        <v>52</v>
      </c>
      <c r="E97" s="186">
        <f>IF(E17="","",IFERROR((E$95)-(E$96*E$95),""))</f>
        <v>0</v>
      </c>
      <c r="F97" s="186">
        <f t="shared" ref="F97" si="19">IF(F17="","",IFERROR((F$95)-(F$96*F$95),""))</f>
        <v>0</v>
      </c>
    </row>
    <row r="98" spans="1:6">
      <c r="A98" s="79"/>
      <c r="B98" s="152" t="s">
        <v>8</v>
      </c>
      <c r="C98" s="116" t="s">
        <v>101</v>
      </c>
      <c r="D98" s="187"/>
      <c r="E98" s="117" t="str">
        <f>IFERROR(VLOOKUP(E$15,'[2]Apoio - Posto'!$A:$AA,19,FALSE),"")</f>
        <v/>
      </c>
      <c r="F98" s="117"/>
    </row>
    <row r="99" spans="1:6">
      <c r="A99" s="79"/>
      <c r="B99" s="80" t="s">
        <v>11</v>
      </c>
      <c r="C99" s="81" t="s">
        <v>102</v>
      </c>
      <c r="D99" s="188"/>
      <c r="E99" s="6"/>
      <c r="F99" s="6"/>
    </row>
    <row r="100" spans="1:6">
      <c r="A100" s="79"/>
      <c r="B100" s="158" t="s">
        <v>13</v>
      </c>
      <c r="C100" s="178" t="s">
        <v>103</v>
      </c>
      <c r="D100" s="188"/>
      <c r="E100" s="14"/>
      <c r="F100" s="14"/>
    </row>
    <row r="101" spans="1:6">
      <c r="A101" s="79"/>
      <c r="B101" s="160"/>
      <c r="C101" s="189" t="s">
        <v>100</v>
      </c>
      <c r="D101" s="190"/>
      <c r="E101" s="170"/>
      <c r="F101" s="170"/>
    </row>
    <row r="102" spans="1:6">
      <c r="A102" s="79"/>
      <c r="B102" s="160"/>
      <c r="C102" s="191" t="s">
        <v>104</v>
      </c>
      <c r="D102" s="173"/>
      <c r="E102" s="181"/>
      <c r="F102" s="181"/>
    </row>
    <row r="103" spans="1:6">
      <c r="A103" s="79"/>
      <c r="B103" s="165"/>
      <c r="C103" s="176"/>
      <c r="D103" s="177" t="s">
        <v>52</v>
      </c>
      <c r="E103" s="9">
        <f>IF(E17="","",IFERROR((E101)-(E$102*E$101),""))</f>
        <v>0</v>
      </c>
      <c r="F103" s="9">
        <f t="shared" ref="F103" si="20">IF(F17="","",IFERROR((F101)-(F$102*F$101),""))</f>
        <v>0</v>
      </c>
    </row>
    <row r="104" spans="1:6">
      <c r="A104" s="79"/>
      <c r="B104" s="80" t="s">
        <v>15</v>
      </c>
      <c r="C104" s="81" t="s">
        <v>105</v>
      </c>
      <c r="D104" s="192" t="str">
        <f>IFERROR(VLOOKUP(E15,'[2]Apoio - Posto'!A:J,14,FALSE),"")</f>
        <v/>
      </c>
      <c r="E104" s="193" t="str">
        <f>IFERROR(VLOOKUP(E$15,'[2]Apoio - Posto'!$A:$AA,18,FALSE),"")</f>
        <v/>
      </c>
      <c r="F104" s="193" t="str">
        <f>IFERROR(VLOOKUP(F$15,'[2]Apoio - Posto'!$A:$AA,18,FALSE),"")</f>
        <v/>
      </c>
    </row>
    <row r="105" spans="1:6">
      <c r="A105" s="79"/>
      <c r="B105" s="158" t="s">
        <v>18</v>
      </c>
      <c r="C105" s="178" t="s">
        <v>106</v>
      </c>
      <c r="D105" s="188"/>
      <c r="E105" s="6"/>
      <c r="F105" s="6"/>
    </row>
    <row r="106" spans="1:6">
      <c r="A106" s="79"/>
      <c r="B106" s="160"/>
      <c r="C106" s="180" t="s">
        <v>107</v>
      </c>
      <c r="D106" s="190"/>
      <c r="E106" s="194"/>
      <c r="F106" s="170"/>
    </row>
    <row r="107" spans="1:6">
      <c r="A107" s="79"/>
      <c r="B107" s="160"/>
      <c r="C107" s="132" t="s">
        <v>98</v>
      </c>
      <c r="D107" s="173"/>
      <c r="E107" s="195"/>
      <c r="F107" s="181"/>
    </row>
    <row r="108" spans="1:6">
      <c r="A108" s="79"/>
      <c r="B108" s="165"/>
      <c r="C108" s="105"/>
      <c r="D108" s="196" t="s">
        <v>52</v>
      </c>
      <c r="E108" s="197">
        <f>IF(E15="","",E106*(1-E107))</f>
        <v>0</v>
      </c>
      <c r="F108" s="197">
        <f t="shared" ref="F108" si="21">IF(F15="","",F106*(1-F107))</f>
        <v>0</v>
      </c>
    </row>
    <row r="109" spans="1:6" ht="14.45" customHeight="1">
      <c r="A109" s="155"/>
      <c r="B109" s="149" t="s">
        <v>108</v>
      </c>
      <c r="C109" s="150"/>
      <c r="D109" s="151"/>
      <c r="E109" s="198">
        <f>IF(E17="","",SUM(E88,E93,E97,E98,E99,E103,E104,E108))</f>
        <v>605.46181818181822</v>
      </c>
      <c r="F109" s="198">
        <f t="shared" ref="F109" si="22">IF(F17="","",SUM(F88,F93,F97,F98,F99,F103,F104,F108))</f>
        <v>216.71272727272728</v>
      </c>
    </row>
    <row r="110" spans="1:6">
      <c r="A110" s="23"/>
      <c r="B110" s="23"/>
      <c r="C110" s="23"/>
      <c r="D110" s="23"/>
      <c r="E110" s="23"/>
      <c r="F110" s="23"/>
    </row>
    <row r="111" spans="1:6" ht="14.45" customHeight="1">
      <c r="A111" s="141"/>
      <c r="B111" s="33" t="s">
        <v>109</v>
      </c>
      <c r="C111" s="34"/>
      <c r="D111" s="35"/>
      <c r="E111" s="199">
        <f>IF(E17="","",IFERROR(SUM(E109,E80,E66),""))</f>
        <v>1671.1604072727273</v>
      </c>
      <c r="F111" s="142">
        <f t="shared" ref="F111" si="23">IF(F17="","",IFERROR(SUM(F109,F80,F66),""))</f>
        <v>605.65381818181822</v>
      </c>
    </row>
    <row r="112" spans="1:6">
      <c r="A112" s="145"/>
      <c r="B112" s="145"/>
      <c r="C112" s="145"/>
      <c r="D112" s="145"/>
      <c r="E112" s="200"/>
      <c r="F112" s="200"/>
    </row>
    <row r="113" spans="1:6" ht="14.45" customHeight="1">
      <c r="A113" s="79"/>
      <c r="B113" s="33" t="s">
        <v>110</v>
      </c>
      <c r="C113" s="34"/>
      <c r="D113" s="34"/>
      <c r="E113" s="34"/>
      <c r="F113" s="35"/>
    </row>
    <row r="114" spans="1:6">
      <c r="A114" s="201"/>
      <c r="B114" s="152" t="s">
        <v>0</v>
      </c>
      <c r="C114" s="116" t="s">
        <v>111</v>
      </c>
      <c r="D114" s="153">
        <v>4.1999999999999997E-3</v>
      </c>
      <c r="E114" s="83">
        <f t="shared" ref="E114:F119" si="24">IFERROR($D114*E$58,"")</f>
        <v>7.289794909090908</v>
      </c>
      <c r="F114" s="83">
        <f t="shared" si="24"/>
        <v>2.6605090909090907</v>
      </c>
    </row>
    <row r="115" spans="1:6">
      <c r="A115" s="201"/>
      <c r="B115" s="152" t="s">
        <v>3</v>
      </c>
      <c r="C115" s="116" t="s">
        <v>112</v>
      </c>
      <c r="D115" s="153">
        <f>D74*D114</f>
        <v>3.3599999999999998E-4</v>
      </c>
      <c r="E115" s="83">
        <f t="shared" si="24"/>
        <v>0.5831835927272726</v>
      </c>
      <c r="F115" s="83">
        <f t="shared" si="24"/>
        <v>0.21284072727272726</v>
      </c>
    </row>
    <row r="116" spans="1:6">
      <c r="A116" s="201"/>
      <c r="B116" s="152" t="s">
        <v>5</v>
      </c>
      <c r="C116" s="116" t="s">
        <v>113</v>
      </c>
      <c r="D116" s="153">
        <v>0.02</v>
      </c>
      <c r="E116" s="83">
        <f t="shared" si="24"/>
        <v>34.713309090909085</v>
      </c>
      <c r="F116" s="83">
        <f t="shared" si="24"/>
        <v>12.66909090909091</v>
      </c>
    </row>
    <row r="117" spans="1:6">
      <c r="A117" s="201"/>
      <c r="B117" s="152" t="s">
        <v>8</v>
      </c>
      <c r="C117" s="116" t="s">
        <v>114</v>
      </c>
      <c r="D117" s="153">
        <v>1.9400000000000001E-2</v>
      </c>
      <c r="E117" s="83">
        <f t="shared" si="24"/>
        <v>33.671909818181817</v>
      </c>
      <c r="F117" s="83">
        <f t="shared" si="24"/>
        <v>12.289018181818182</v>
      </c>
    </row>
    <row r="118" spans="1:6">
      <c r="A118" s="201"/>
      <c r="B118" s="152" t="s">
        <v>11</v>
      </c>
      <c r="C118" s="116" t="s">
        <v>115</v>
      </c>
      <c r="D118" s="153">
        <f>D117*G79</f>
        <v>6.7512000000000015E-3</v>
      </c>
      <c r="E118" s="83">
        <f t="shared" si="24"/>
        <v>11.717824616727274</v>
      </c>
      <c r="F118" s="83">
        <f t="shared" si="24"/>
        <v>4.2765783272727287</v>
      </c>
    </row>
    <row r="119" spans="1:6">
      <c r="A119" s="201"/>
      <c r="B119" s="152" t="s">
        <v>13</v>
      </c>
      <c r="C119" s="116" t="s">
        <v>116</v>
      </c>
      <c r="D119" s="153">
        <v>0.02</v>
      </c>
      <c r="E119" s="83">
        <f t="shared" si="24"/>
        <v>34.713309090909085</v>
      </c>
      <c r="F119" s="83">
        <f t="shared" si="24"/>
        <v>12.66909090909091</v>
      </c>
    </row>
    <row r="120" spans="1:6" ht="14.45" customHeight="1">
      <c r="A120" s="141"/>
      <c r="B120" s="33" t="s">
        <v>117</v>
      </c>
      <c r="C120" s="34"/>
      <c r="D120" s="35"/>
      <c r="E120" s="142">
        <f>IF(SUM(E114:E119)=0,"",SUM(E114:E119))</f>
        <v>122.68933111854543</v>
      </c>
      <c r="F120" s="142">
        <f t="shared" ref="F120" si="25">IF(SUM(F114:F119)=0,"",SUM(F114:F119))</f>
        <v>44.777128145454554</v>
      </c>
    </row>
    <row r="121" spans="1:6">
      <c r="A121" s="145"/>
      <c r="B121" s="202"/>
      <c r="C121" s="202"/>
      <c r="D121" s="146"/>
      <c r="E121" s="203"/>
      <c r="F121" s="203"/>
    </row>
    <row r="122" spans="1:6" ht="14.45" customHeight="1">
      <c r="A122" s="79"/>
      <c r="B122" s="33" t="s">
        <v>118</v>
      </c>
      <c r="C122" s="34"/>
      <c r="D122" s="34"/>
      <c r="E122" s="34"/>
      <c r="F122" s="35"/>
    </row>
    <row r="123" spans="1:6">
      <c r="A123" s="23"/>
      <c r="B123" s="23"/>
      <c r="C123" s="23"/>
      <c r="D123" s="23"/>
      <c r="E123" s="23"/>
      <c r="F123" s="23"/>
    </row>
    <row r="124" spans="1:6" ht="14.45" customHeight="1">
      <c r="A124" s="148"/>
      <c r="B124" s="149" t="s">
        <v>119</v>
      </c>
      <c r="C124" s="150"/>
      <c r="D124" s="150"/>
      <c r="E124" s="150"/>
      <c r="F124" s="151"/>
    </row>
    <row r="125" spans="1:6">
      <c r="A125" s="204"/>
      <c r="B125" s="152" t="s">
        <v>0</v>
      </c>
      <c r="C125" s="116" t="s">
        <v>120</v>
      </c>
      <c r="D125" s="153">
        <v>1E-4</v>
      </c>
      <c r="E125" s="83">
        <f>IF(E17="","",IFERROR($D125*SUM(E$58),""))</f>
        <v>0.17356654545454545</v>
      </c>
      <c r="F125" s="157">
        <f t="shared" ref="F125" si="26">IF(F17="","",IFERROR($D125*SUM(F$58),""))</f>
        <v>6.3345454545454552E-2</v>
      </c>
    </row>
    <row r="126" spans="1:6">
      <c r="A126" s="204"/>
      <c r="B126" s="152" t="s">
        <v>3</v>
      </c>
      <c r="C126" s="116" t="s">
        <v>121</v>
      </c>
      <c r="D126" s="153">
        <f>INDEX('[2]Apoio - Notas Explicativas'!$Q:$Q,MATCH(C126,'[2]Apoio - Notas Explicativas'!$C:$C,0))</f>
        <v>1.3899999999999999E-2</v>
      </c>
      <c r="E126" s="83">
        <f>IFERROR($D126*(E58+E63+E64),"")</f>
        <v>28.815795582836362</v>
      </c>
      <c r="F126" s="157">
        <f t="shared" ref="F126" si="27">IFERROR($D126*(F58+F63+F64),"")</f>
        <v>10.516713716363636</v>
      </c>
    </row>
    <row r="127" spans="1:6">
      <c r="A127" s="204"/>
      <c r="B127" s="152" t="s">
        <v>5</v>
      </c>
      <c r="C127" s="116" t="s">
        <v>122</v>
      </c>
      <c r="D127" s="153">
        <f>INDEX('[2]Apoio - Notas Explicativas'!$Q:$Q,MATCH(C127,'[2]Apoio - Notas Explicativas'!$C:$C,0))</f>
        <v>2.0000000000000001E-4</v>
      </c>
      <c r="E127" s="83">
        <f>IFERROR($D127*(E58+E63+E64),"")</f>
        <v>0.41461576378181819</v>
      </c>
      <c r="F127" s="157">
        <f t="shared" ref="F127" si="28">IFERROR($D127*(F58+F63+F64),"")</f>
        <v>0.15131962181818184</v>
      </c>
    </row>
    <row r="128" spans="1:6">
      <c r="A128" s="204"/>
      <c r="B128" s="152" t="s">
        <v>8</v>
      </c>
      <c r="C128" s="116" t="s">
        <v>123</v>
      </c>
      <c r="D128" s="153">
        <f>INDEX('[2]Apoio - Notas Explicativas'!$Q:$Q,MATCH(C128,'[2]Apoio - Notas Explicativas'!$C:$C,0))</f>
        <v>8.2000000000000007E-3</v>
      </c>
      <c r="E128" s="83">
        <f>IFERROR($D128*(E58+E63+E64),"")</f>
        <v>16.999246315054545</v>
      </c>
      <c r="F128" s="157">
        <f t="shared" ref="F128" si="29">IFERROR($D128*(F58+F63+F64),"")</f>
        <v>6.2041044945454553</v>
      </c>
    </row>
    <row r="129" spans="1:7">
      <c r="A129" s="204"/>
      <c r="B129" s="152" t="s">
        <v>11</v>
      </c>
      <c r="C129" s="116" t="s">
        <v>124</v>
      </c>
      <c r="D129" s="153">
        <f>INDEX('[2]Apoio - Notas Explicativas'!$Q:$Q,MATCH(C129,'[2]Apoio - Notas Explicativas'!$C:$C,0))</f>
        <v>2.9999999999999997E-4</v>
      </c>
      <c r="E129" s="83">
        <f>IFERROR($D129*(E58+E63+E64),"")</f>
        <v>0.62192364567272718</v>
      </c>
      <c r="F129" s="157">
        <f t="shared" ref="F129" si="30">IFERROR($D129*(F58+F63+F64),"")</f>
        <v>0.22697943272727272</v>
      </c>
      <c r="G129" s="154">
        <f>SUM(D125:D131)</f>
        <v>3.1004000000000004E-2</v>
      </c>
    </row>
    <row r="130" spans="1:7">
      <c r="A130" s="204"/>
      <c r="B130" s="152" t="s">
        <v>13</v>
      </c>
      <c r="C130" s="116" t="s">
        <v>125</v>
      </c>
      <c r="D130" s="153">
        <v>2.9999999999999997E-4</v>
      </c>
      <c r="E130" s="83">
        <f>IFERROR((E$58+E64)*$D$130,"")</f>
        <v>0.57854936596363626</v>
      </c>
      <c r="F130" s="157">
        <f t="shared" ref="F130" si="31">IFERROR((F$58+F64)*$D$130,"")</f>
        <v>0.21114940363636364</v>
      </c>
    </row>
    <row r="131" spans="1:7">
      <c r="A131" s="204"/>
      <c r="B131" s="152" t="s">
        <v>15</v>
      </c>
      <c r="C131" s="116" t="s">
        <v>126</v>
      </c>
      <c r="D131" s="153">
        <f>SUM(D125:D130)*SUM(D78:D79,D69:D74)</f>
        <v>8.0040000000000024E-3</v>
      </c>
      <c r="E131" s="83">
        <f>IF(E15="","",SUM(E125:E130)*SUM($D$69:$D$74,$D$78:$D$79))</f>
        <v>16.56608663212975</v>
      </c>
      <c r="F131" s="157">
        <f t="shared" ref="F131" si="32">IF(F15="","",SUM(F125:F130)*SUM($D$69:$D$74,$D$78:$D$79))</f>
        <v>6.0460170190254559</v>
      </c>
      <c r="G131" s="154"/>
    </row>
    <row r="132" spans="1:7">
      <c r="A132" s="204"/>
      <c r="B132" s="152" t="s">
        <v>18</v>
      </c>
      <c r="C132" s="116" t="s">
        <v>127</v>
      </c>
      <c r="D132" s="205">
        <f>INDEX('[2]Apoio - Notas Explicativas'!$Q:$Q,MATCH(C132,'[2]Apoio - Notas Explicativas'!$C:$C,0))</f>
        <v>37.96</v>
      </c>
      <c r="E132" s="83">
        <f>IFERROR(((E109-SUM(E88,E93))/(30*12))*$D$132,"")</f>
        <v>0</v>
      </c>
      <c r="F132" s="157">
        <f t="shared" ref="F132" si="33">IFERROR(((F109-SUM(F88,F93))/(30*12))*$D$132,"")</f>
        <v>0</v>
      </c>
    </row>
    <row r="133" spans="1:7">
      <c r="A133" s="204"/>
      <c r="B133" s="152" t="s">
        <v>20</v>
      </c>
      <c r="C133" s="116" t="s">
        <v>128</v>
      </c>
      <c r="D133" s="205">
        <v>37.96</v>
      </c>
      <c r="E133" s="83">
        <f>IFERROR(((((E$120/12)*$D$133))/30),"")</f>
        <v>12.936908359055511</v>
      </c>
      <c r="F133" s="157">
        <f t="shared" ref="F133" si="34">IFERROR(((((F$120/12)*$D$133))/30),"")</f>
        <v>4.7214994011151532</v>
      </c>
    </row>
    <row r="134" spans="1:7" ht="14.45" customHeight="1">
      <c r="A134" s="155"/>
      <c r="B134" s="149" t="s">
        <v>129</v>
      </c>
      <c r="C134" s="150"/>
      <c r="D134" s="151"/>
      <c r="E134" s="156">
        <f>IF(SUM(E125:E133)=0,"",SUM(E125:E133))</f>
        <v>77.106692209948889</v>
      </c>
      <c r="F134" s="206">
        <f t="shared" ref="F134" si="35">IF(SUM(F125:F133)=0,"",SUM(F125:F133))</f>
        <v>28.141128543776972</v>
      </c>
    </row>
    <row r="135" spans="1:7">
      <c r="A135" s="23"/>
      <c r="B135" s="23"/>
      <c r="C135" s="23"/>
      <c r="D135" s="23"/>
      <c r="E135" s="23"/>
      <c r="F135" s="23"/>
    </row>
    <row r="136" spans="1:7" ht="14.45" customHeight="1">
      <c r="A136" s="148"/>
      <c r="B136" s="149" t="s">
        <v>130</v>
      </c>
      <c r="C136" s="150"/>
      <c r="D136" s="150"/>
      <c r="E136" s="150"/>
      <c r="F136" s="151"/>
      <c r="G136" s="154">
        <f>G129+G79+G65</f>
        <v>0.64500400000000013</v>
      </c>
    </row>
    <row r="137" spans="1:7">
      <c r="A137" s="207"/>
      <c r="B137" s="158" t="s">
        <v>0</v>
      </c>
      <c r="C137" s="119" t="s">
        <v>131</v>
      </c>
      <c r="D137" s="188"/>
      <c r="E137" s="6"/>
      <c r="F137" s="6"/>
    </row>
    <row r="138" spans="1:7">
      <c r="A138" s="207"/>
      <c r="B138" s="160"/>
      <c r="C138" s="122" t="s">
        <v>132</v>
      </c>
      <c r="D138" s="208"/>
      <c r="E138" s="209" t="s">
        <v>133</v>
      </c>
      <c r="F138" s="209" t="s">
        <v>133</v>
      </c>
    </row>
    <row r="139" spans="1:7">
      <c r="A139" s="207"/>
      <c r="B139" s="165"/>
      <c r="C139" s="176"/>
      <c r="D139" s="210" t="s">
        <v>52</v>
      </c>
      <c r="E139" s="9">
        <f>IF(E138="Rendição",(((SUM(E58,E$80,E$109,E145)/VLOOKUP(E$23,'[2]Apoio - Regime de Trabalho'!$A:$I,8,FALSE)))*VLOOKUP(E$23,'[2]Apoio - Regime de Trabalho'!$A:$I,7,FALSE)),
IF(E138="Não",0,
IF(E138="Indenização",(((SUM(E29,E39)/VLOOKUP(E$23,'[2]Apoio - Regime de Trabalho'!$A:$I,8,FALSE))*1.5)*VLOOKUP(E$23,'[2]Apoio - Regime de Trabalho'!$A:$I,7,FALSE)),"")))</f>
        <v>0</v>
      </c>
      <c r="F139" s="9">
        <f>IF(F138="Rendição",(((SUM(F58,F$80,F$109,F145)/VLOOKUP(F$23,'[2]Apoio - Regime de Trabalho'!$A:$I,8,FALSE)))*VLOOKUP(F$23,'[2]Apoio - Regime de Trabalho'!$A:$I,7,FALSE)),
IF(F138="Não",0,
IF(F138="Indenização",(((SUM(F29,F39)/VLOOKUP(F$23,'[2]Apoio - Regime de Trabalho'!$A:$I,8,FALSE))*1.5)*VLOOKUP(F$23,'[2]Apoio - Regime de Trabalho'!$A:$I,7,FALSE)),"")))</f>
        <v>0</v>
      </c>
    </row>
    <row r="140" spans="1:7" ht="14.45" customHeight="1">
      <c r="A140" s="155"/>
      <c r="B140" s="149" t="s">
        <v>134</v>
      </c>
      <c r="C140" s="150"/>
      <c r="D140" s="151"/>
      <c r="E140" s="206">
        <f>E139</f>
        <v>0</v>
      </c>
      <c r="F140" s="206">
        <f t="shared" ref="F140" si="36">F139</f>
        <v>0</v>
      </c>
    </row>
    <row r="141" spans="1:7">
      <c r="A141" s="23"/>
      <c r="B141" s="23"/>
      <c r="C141" s="23"/>
      <c r="D141" s="23"/>
      <c r="E141" s="23"/>
      <c r="F141" s="23"/>
    </row>
    <row r="142" spans="1:7" ht="14.45" customHeight="1">
      <c r="A142" s="141"/>
      <c r="B142" s="33" t="s">
        <v>135</v>
      </c>
      <c r="C142" s="34"/>
      <c r="D142" s="35"/>
      <c r="E142" s="142">
        <f>IF(E140="",E134,SUM(E140,E134))</f>
        <v>77.106692209948889</v>
      </c>
      <c r="F142" s="142">
        <f t="shared" ref="F142" si="37">IF(F140="",F134,SUM(F140,F134))</f>
        <v>28.141128543776972</v>
      </c>
    </row>
    <row r="143" spans="1:7">
      <c r="A143" s="211"/>
      <c r="B143" s="145"/>
      <c r="C143" s="211"/>
      <c r="D143" s="212"/>
      <c r="E143" s="211"/>
      <c r="F143" s="211"/>
    </row>
    <row r="144" spans="1:7" ht="14.45" customHeight="1">
      <c r="A144" s="79"/>
      <c r="B144" s="33" t="s">
        <v>136</v>
      </c>
      <c r="C144" s="34"/>
      <c r="D144" s="34"/>
      <c r="E144" s="34"/>
      <c r="F144" s="35"/>
    </row>
    <row r="145" spans="1:8">
      <c r="A145" s="204"/>
      <c r="B145" s="152" t="s">
        <v>0</v>
      </c>
      <c r="C145" s="213" t="s">
        <v>137</v>
      </c>
      <c r="D145" s="153"/>
      <c r="E145" s="83">
        <v>24.6</v>
      </c>
      <c r="F145" s="83">
        <v>24.6</v>
      </c>
    </row>
    <row r="146" spans="1:8">
      <c r="A146" s="204"/>
      <c r="B146" s="152" t="s">
        <v>3</v>
      </c>
      <c r="C146" s="213" t="s">
        <v>138</v>
      </c>
      <c r="D146" s="153"/>
      <c r="E146" s="83"/>
      <c r="F146" s="83"/>
    </row>
    <row r="147" spans="1:8" ht="14.45" customHeight="1">
      <c r="A147" s="141"/>
      <c r="B147" s="33" t="s">
        <v>139</v>
      </c>
      <c r="C147" s="34"/>
      <c r="D147" s="35"/>
      <c r="E147" s="142">
        <f>IF(E15="","",SUM(E145:E146))</f>
        <v>24.6</v>
      </c>
      <c r="F147" s="142">
        <f t="shared" ref="F147" si="38">IF(F15="","",SUM(F145:F146))</f>
        <v>24.6</v>
      </c>
    </row>
    <row r="149" spans="1:8" ht="14.45" customHeight="1">
      <c r="A149" s="79"/>
      <c r="B149" s="33" t="s">
        <v>140</v>
      </c>
      <c r="C149" s="34"/>
      <c r="D149" s="34"/>
      <c r="E149" s="34"/>
      <c r="F149" s="35"/>
    </row>
    <row r="150" spans="1:8">
      <c r="A150" s="23"/>
      <c r="B150" s="23"/>
      <c r="C150" s="23"/>
      <c r="D150" s="23"/>
      <c r="E150" s="23"/>
      <c r="F150" s="23"/>
    </row>
    <row r="151" spans="1:8" ht="14.45" customHeight="1">
      <c r="A151" s="148"/>
      <c r="B151" s="149" t="s">
        <v>141</v>
      </c>
      <c r="C151" s="150"/>
      <c r="D151" s="150"/>
      <c r="E151" s="150"/>
      <c r="F151" s="151"/>
    </row>
    <row r="152" spans="1:8">
      <c r="A152" s="207"/>
      <c r="B152" s="152" t="s">
        <v>0</v>
      </c>
      <c r="C152" s="116" t="s">
        <v>142</v>
      </c>
      <c r="D152" s="153">
        <v>0.03</v>
      </c>
      <c r="E152" s="83">
        <f>IF(E15="","",IFERROR(ROUND($D$152*SUM(E58,E111,E120,E142,E147),2),""))</f>
        <v>108.94</v>
      </c>
      <c r="F152" s="83">
        <f t="shared" ref="F152" si="39">IF(F15="","",IFERROR(ROUND($D$152*SUM(F58,F111,F120,F142,F147),2),""))</f>
        <v>40.1</v>
      </c>
      <c r="G152" s="30">
        <f>E152*150</f>
        <v>16341</v>
      </c>
      <c r="H152" s="30">
        <f>F152*150</f>
        <v>6015</v>
      </c>
    </row>
    <row r="153" spans="1:8">
      <c r="A153" s="204"/>
      <c r="B153" s="152" t="s">
        <v>3</v>
      </c>
      <c r="C153" s="116" t="s">
        <v>143</v>
      </c>
      <c r="D153" s="153">
        <v>3.4700000000000002E-2</v>
      </c>
      <c r="E153" s="83">
        <f>IF(E15="","",IFERROR(ROUND($D$153*SUM(E152,E58,E111,E120,E142,E147),2),""))</f>
        <v>129.78</v>
      </c>
      <c r="F153" s="83">
        <f t="shared" ref="F153" si="40">IF(F15="","",IFERROR(ROUND($D$153*SUM(F152,F58,F111,F120,F142,F147),2),""))</f>
        <v>47.77</v>
      </c>
      <c r="G153" s="30">
        <f>E153*150</f>
        <v>19467</v>
      </c>
      <c r="H153" s="30">
        <f>F153*150</f>
        <v>7165.5000000000009</v>
      </c>
    </row>
    <row r="154" spans="1:8">
      <c r="A154" s="155"/>
      <c r="B154" s="214"/>
      <c r="C154" s="215" t="s">
        <v>144</v>
      </c>
      <c r="D154" s="216"/>
      <c r="E154" s="156">
        <f>IF(E15="","",SUM(E152:E153))</f>
        <v>238.72</v>
      </c>
      <c r="F154" s="156">
        <f t="shared" ref="F154" si="41">IF(F15="","",SUM(F152:F153))</f>
        <v>87.87</v>
      </c>
    </row>
    <row r="155" spans="1:8">
      <c r="A155" s="23"/>
      <c r="B155" s="23"/>
      <c r="C155" s="23"/>
      <c r="D155" s="23"/>
      <c r="E155" s="23"/>
      <c r="F155" s="23"/>
    </row>
    <row r="156" spans="1:8" ht="14.45" customHeight="1">
      <c r="A156" s="148"/>
      <c r="B156" s="149" t="s">
        <v>145</v>
      </c>
      <c r="C156" s="150"/>
      <c r="D156" s="150"/>
      <c r="E156" s="150"/>
      <c r="F156" s="151"/>
    </row>
    <row r="157" spans="1:8">
      <c r="A157" s="204"/>
      <c r="B157" s="152" t="s">
        <v>0</v>
      </c>
      <c r="C157" s="116" t="s">
        <v>146</v>
      </c>
      <c r="D157" s="217">
        <v>3.27E-2</v>
      </c>
      <c r="E157" s="83">
        <f>IF(E15="","",IFERROR(ROUND(SUM(E$154,E$58,E$111,E$120,E$142,E$147)*$D157/(1-SUM($D$157:$D$162,E$160)),2),""))</f>
        <v>139.41999999999999</v>
      </c>
      <c r="F157" s="83">
        <f t="shared" ref="F157" si="42">IF(F15="","",IFERROR(ROUND(SUM(F$154,F$58,F$111,F$120,F$142,F$147)*$D157/(1-SUM($D$157:$D$162,F$160)),2),""))</f>
        <v>51.32</v>
      </c>
      <c r="G157" s="30">
        <f>E157*150</f>
        <v>20912.999999999996</v>
      </c>
      <c r="H157" s="30">
        <f>F157*150</f>
        <v>7698</v>
      </c>
    </row>
    <row r="158" spans="1:8">
      <c r="A158" s="207"/>
      <c r="B158" s="152" t="s">
        <v>3</v>
      </c>
      <c r="C158" s="116" t="s">
        <v>147</v>
      </c>
      <c r="D158" s="217">
        <v>9.5999999999999992E-3</v>
      </c>
      <c r="E158" s="83">
        <f>IF(E16="","",IFERROR(ROUND(SUM(E$154,E$58,E$111,E$120,E$142,E$147)*$D158/(1-SUM($D$157:$D$162,E$160)),2),""))</f>
        <v>40.93</v>
      </c>
      <c r="F158" s="83">
        <f>IF(F16="","",IFERROR(ROUND(SUM(F$154,F$58,F$111,F$120,F$142,F$147)*$D158/(1-SUM($D$157:$D$162,F$160)),2),""))</f>
        <v>15.07</v>
      </c>
    </row>
    <row r="159" spans="1:8">
      <c r="A159" s="207"/>
      <c r="B159" s="126" t="s">
        <v>5</v>
      </c>
      <c r="C159" s="127" t="s">
        <v>148</v>
      </c>
      <c r="D159" s="218"/>
      <c r="E159" s="6"/>
      <c r="F159" s="6"/>
    </row>
    <row r="160" spans="1:8">
      <c r="A160" s="207"/>
      <c r="B160" s="95"/>
      <c r="C160" s="122" t="s">
        <v>149</v>
      </c>
      <c r="D160" s="208"/>
      <c r="E160" s="219">
        <f>IF(E15="","",
IF($D$10="Simples",INDEX('[2]Apoio - Notas Explicativas'!$Q:$Q,MATCH($C$159,'[2]Apoio - Notas Explicativas'!$C:$C,0)),
IFERROR(VLOOKUP(E$15,'[2]Apoio - Posto'!$A:$AA,20,FALSE),
INDEX('[2]Apoio - Notas Explicativas'!$Q:$Q,MATCH($C$159,'[2]Apoio - Notas Explicativas'!$C:$C,0))
)))</f>
        <v>0.05</v>
      </c>
      <c r="F160" s="219">
        <f>IF(F15="","",
IF($D$10="Simples",INDEX('[2]Apoio - Notas Explicativas'!$Q:$Q,MATCH($C$159,'[2]Apoio - Notas Explicativas'!$C:$C,0)),
IFERROR(VLOOKUP(F$15,'[2]Apoio - Posto'!$A:$AA,20,FALSE),
INDEX('[2]Apoio - Notas Explicativas'!$Q:$Q,MATCH($C$159,'[2]Apoio - Notas Explicativas'!$C:$C,0))
)))</f>
        <v>0.05</v>
      </c>
    </row>
    <row r="161" spans="1:8">
      <c r="A161" s="204"/>
      <c r="B161" s="104"/>
      <c r="C161" s="116"/>
      <c r="D161" s="210" t="s">
        <v>52</v>
      </c>
      <c r="E161" s="117">
        <f>IF(E17="","",IFERROR(ROUND(SUM(E$154,E$58,E$111,E$120,E$142,E$147)*E160/(1-SUM($D$157:$D$162,E160)),2),""))</f>
        <v>213.17</v>
      </c>
      <c r="F161" s="117">
        <f t="shared" ref="F161" si="43">IF(F17="","",IFERROR(ROUND(SUM(F$154,F$58,F$111,F$120,F$142,F$147)*F160/(1-SUM($D$157:$D$162,F160)),2),""))</f>
        <v>78.47</v>
      </c>
      <c r="G161" s="154"/>
    </row>
    <row r="162" spans="1:8">
      <c r="A162" s="204"/>
      <c r="B162" s="152" t="s">
        <v>8</v>
      </c>
      <c r="C162" s="116" t="s">
        <v>150</v>
      </c>
      <c r="D162" s="217">
        <v>0</v>
      </c>
      <c r="E162" s="83">
        <f>IF(E18="","",IFERROR(ROUND(SUM(E$154,E$58,E$111,E$120,E$142,E$147)*$D162/(1-SUM($D$157:$D$162,E$160)),2),""))</f>
        <v>0</v>
      </c>
      <c r="F162" s="83">
        <f t="shared" ref="F162" si="44">IF(F18="","",IFERROR(ROUND(SUM(F$154,F$58,F$111,F$120,F$142,F$147)*$D162/(1-SUM($D$157:$D$162,F$160)),2),""))</f>
        <v>0</v>
      </c>
    </row>
    <row r="163" spans="1:8" ht="14.45" customHeight="1">
      <c r="A163" s="155"/>
      <c r="B163" s="149" t="s">
        <v>151</v>
      </c>
      <c r="C163" s="150"/>
      <c r="D163" s="151"/>
      <c r="E163" s="198">
        <f>IF(E15="","",SUM(E157:E158,E161:E162))</f>
        <v>393.52</v>
      </c>
      <c r="F163" s="198">
        <f t="shared" ref="F163" si="45">IF(F15="","",SUM(F157:F158,F161:F162))</f>
        <v>144.86000000000001</v>
      </c>
    </row>
    <row r="164" spans="1:8">
      <c r="A164" s="23"/>
      <c r="B164" s="23"/>
      <c r="C164" s="23"/>
      <c r="D164" s="23"/>
      <c r="E164" s="23"/>
      <c r="F164" s="23"/>
    </row>
    <row r="165" spans="1:8" ht="14.45" customHeight="1">
      <c r="A165" s="141"/>
      <c r="B165" s="33" t="s">
        <v>152</v>
      </c>
      <c r="C165" s="34"/>
      <c r="D165" s="35"/>
      <c r="E165" s="142">
        <f>IF(E15="","",SUM(E163,E154))</f>
        <v>632.24</v>
      </c>
      <c r="F165" s="142">
        <f t="shared" ref="F165" si="46">IF(F15="","",SUM(F163,F154))</f>
        <v>232.73000000000002</v>
      </c>
    </row>
    <row r="167" spans="1:8" ht="14.45" customHeight="1">
      <c r="A167" s="79"/>
      <c r="B167" s="33" t="s">
        <v>153</v>
      </c>
      <c r="C167" s="34"/>
      <c r="D167" s="34"/>
      <c r="E167" s="34"/>
      <c r="F167" s="35"/>
    </row>
    <row r="168" spans="1:8">
      <c r="A168" s="220"/>
      <c r="B168" s="221"/>
      <c r="C168" s="221"/>
      <c r="D168" s="221"/>
      <c r="E168" s="221"/>
      <c r="F168" s="221"/>
    </row>
    <row r="169" spans="1:8" ht="14.45" customHeight="1">
      <c r="A169" s="220"/>
      <c r="B169" s="149" t="s">
        <v>154</v>
      </c>
      <c r="C169" s="150"/>
      <c r="D169" s="150"/>
      <c r="E169" s="150"/>
      <c r="F169" s="151"/>
    </row>
    <row r="170" spans="1:8">
      <c r="A170" s="222"/>
      <c r="B170" s="152" t="s">
        <v>0</v>
      </c>
      <c r="C170" s="116" t="s">
        <v>155</v>
      </c>
      <c r="D170" s="153"/>
      <c r="E170" s="83">
        <f>E172/200</f>
        <v>21.317309425733377</v>
      </c>
      <c r="F170" s="83">
        <f>F172/80</f>
        <v>19.616957754069936</v>
      </c>
      <c r="G170" s="30"/>
    </row>
    <row r="171" spans="1:8">
      <c r="A171" s="222"/>
      <c r="B171" s="152" t="s">
        <v>3</v>
      </c>
      <c r="C171" s="116" t="s">
        <v>156</v>
      </c>
      <c r="D171" s="153"/>
      <c r="E171" s="83">
        <f>E172/22</f>
        <v>193.79372205212164</v>
      </c>
      <c r="F171" s="83">
        <f>F172/8</f>
        <v>196.16957754069938</v>
      </c>
      <c r="G171" s="30"/>
    </row>
    <row r="172" spans="1:8">
      <c r="A172" s="222"/>
      <c r="B172" s="152" t="s">
        <v>5</v>
      </c>
      <c r="C172" s="116" t="s">
        <v>157</v>
      </c>
      <c r="D172" s="153"/>
      <c r="E172" s="83">
        <f>SUM($E$58,$E$111,$E$120,$E$142,$E$147,$E$165)</f>
        <v>4263.4618851466757</v>
      </c>
      <c r="F172" s="83">
        <f>SUM($F$58,$F$111,$F$120,$F$142,$F$147,$F$165)</f>
        <v>1569.356620325595</v>
      </c>
      <c r="G172" s="30">
        <f>E172*150</f>
        <v>639519.28277200134</v>
      </c>
    </row>
    <row r="173" spans="1:8">
      <c r="A173" s="222"/>
      <c r="B173" s="152" t="s">
        <v>8</v>
      </c>
      <c r="C173" s="116" t="s">
        <v>158</v>
      </c>
      <c r="D173" s="153"/>
      <c r="E173" s="83">
        <f>SUM($E$58,$E$111,$E$120,$E$142,$E$147,$E$165)</f>
        <v>4263.4618851466757</v>
      </c>
      <c r="F173" s="83">
        <f>SUM($F$58,$F$111,$F$120,$F$142,$F$147,$F$165)</f>
        <v>1569.356620325595</v>
      </c>
      <c r="G173" s="30">
        <f>F172*150</f>
        <v>235403.49304883924</v>
      </c>
    </row>
    <row r="174" spans="1:8">
      <c r="A174" s="220"/>
      <c r="B174" s="221"/>
      <c r="C174" s="221"/>
      <c r="D174" s="221"/>
      <c r="E174" s="221"/>
      <c r="F174" s="221"/>
    </row>
    <row r="175" spans="1:8" ht="14.45" customHeight="1">
      <c r="A175" s="220"/>
      <c r="B175" s="149" t="s">
        <v>159</v>
      </c>
      <c r="C175" s="150"/>
      <c r="D175" s="150"/>
      <c r="E175" s="150"/>
      <c r="F175" s="151"/>
    </row>
    <row r="176" spans="1:8">
      <c r="A176" s="222"/>
      <c r="B176" s="152" t="s">
        <v>0</v>
      </c>
      <c r="C176" s="116" t="s">
        <v>160</v>
      </c>
      <c r="D176" s="153"/>
      <c r="E176" s="83">
        <f>($E$134+$E$111+$E$58+E120)*150</f>
        <v>540993.28277200146</v>
      </c>
      <c r="F176" s="83">
        <f>($F$134+$F$111+$F$58+F120)*150</f>
        <v>196803.9930488393</v>
      </c>
      <c r="G176" s="30"/>
      <c r="H176" s="30"/>
    </row>
    <row r="177" spans="1:8">
      <c r="A177" s="222"/>
      <c r="B177" s="152" t="s">
        <v>3</v>
      </c>
      <c r="C177" s="116" t="s">
        <v>161</v>
      </c>
      <c r="D177" s="153"/>
      <c r="E177" s="83">
        <f>E145*150</f>
        <v>3690</v>
      </c>
      <c r="F177" s="83">
        <f>F145*150</f>
        <v>3690</v>
      </c>
      <c r="G177" s="30"/>
    </row>
    <row r="178" spans="1:8">
      <c r="A178" s="223"/>
      <c r="B178" s="152" t="s">
        <v>5</v>
      </c>
      <c r="C178" s="116" t="s">
        <v>162</v>
      </c>
      <c r="D178" s="153"/>
      <c r="E178" s="83">
        <f>($E$165)*150</f>
        <v>94836</v>
      </c>
      <c r="F178" s="83">
        <f>($F$165)*150</f>
        <v>34909.5</v>
      </c>
      <c r="G178" s="30"/>
    </row>
    <row r="179" spans="1:8">
      <c r="A179" s="223"/>
      <c r="B179" s="152" t="s">
        <v>8</v>
      </c>
      <c r="C179" s="116" t="s">
        <v>163</v>
      </c>
      <c r="D179" s="153"/>
      <c r="E179" s="83">
        <f>SUM(E176:E178)</f>
        <v>639519.28277200146</v>
      </c>
      <c r="F179" s="83">
        <f>SUM(F176:F178)</f>
        <v>235403.4930488393</v>
      </c>
      <c r="G179" s="30"/>
      <c r="H179" s="30"/>
    </row>
    <row r="180" spans="1:8">
      <c r="A180" s="220"/>
      <c r="B180" s="221"/>
      <c r="C180" s="221"/>
      <c r="D180" s="221"/>
      <c r="E180" s="221"/>
      <c r="F180" s="221"/>
    </row>
    <row r="181" spans="1:8" ht="14.45" customHeight="1">
      <c r="A181" s="220"/>
      <c r="B181" s="149" t="s">
        <v>164</v>
      </c>
      <c r="C181" s="150"/>
      <c r="D181" s="150"/>
      <c r="E181" s="150"/>
      <c r="F181" s="151"/>
    </row>
    <row r="182" spans="1:8">
      <c r="A182" s="224"/>
      <c r="B182" s="225"/>
      <c r="C182" s="226"/>
      <c r="D182" s="227"/>
      <c r="E182" s="228">
        <f>IFERROR(IF(INDEX('[2]Apoio - Regime de Trabalho'!$C:$C,MATCH(E23,'[2]Apoio - Regime de Trabalho'!$A:$A,0))="Diária",0,1),"")</f>
        <v>1</v>
      </c>
      <c r="F182" s="228">
        <f>IFERROR(IF(INDEX('[2]Apoio - Regime de Trabalho'!$C:$C,MATCH(F23,'[2]Apoio - Regime de Trabalho'!$A:$A,0))="Diária",0,1),"")</f>
        <v>1</v>
      </c>
    </row>
    <row r="183" spans="1:8">
      <c r="A183" s="224"/>
      <c r="B183" s="225"/>
      <c r="C183" s="226"/>
      <c r="D183" s="227"/>
      <c r="E183" s="228">
        <f>IF(E182=1,$D$9,1)</f>
        <v>6</v>
      </c>
      <c r="F183" s="228">
        <f t="shared" ref="F183" si="47">IF(F182=1,$D$9,1)</f>
        <v>6</v>
      </c>
    </row>
    <row r="184" spans="1:8">
      <c r="A184" s="223"/>
      <c r="B184" s="152" t="s">
        <v>0</v>
      </c>
      <c r="C184" s="116" t="s">
        <v>160</v>
      </c>
      <c r="D184" s="153"/>
      <c r="E184" s="83">
        <f>E176*E183</f>
        <v>3245959.696632009</v>
      </c>
      <c r="F184" s="83">
        <f>F176*F183</f>
        <v>1180823.9582930359</v>
      </c>
      <c r="G184" s="30"/>
    </row>
    <row r="185" spans="1:8">
      <c r="A185" s="223"/>
      <c r="B185" s="152" t="s">
        <v>3</v>
      </c>
      <c r="C185" s="116" t="s">
        <v>161</v>
      </c>
      <c r="D185" s="153"/>
      <c r="E185" s="83">
        <f>E177*E183</f>
        <v>22140</v>
      </c>
      <c r="F185" s="83">
        <f>F177*F183</f>
        <v>22140</v>
      </c>
    </row>
    <row r="186" spans="1:8">
      <c r="A186" s="223"/>
      <c r="B186" s="152" t="s">
        <v>5</v>
      </c>
      <c r="C186" s="116" t="s">
        <v>162</v>
      </c>
      <c r="D186" s="153"/>
      <c r="E186" s="83">
        <f>E178*E183</f>
        <v>569016</v>
      </c>
      <c r="F186" s="83">
        <f>F178*F183</f>
        <v>209457</v>
      </c>
    </row>
    <row r="187" spans="1:8">
      <c r="A187" s="223"/>
      <c r="B187" s="152" t="s">
        <v>8</v>
      </c>
      <c r="C187" s="116" t="s">
        <v>165</v>
      </c>
      <c r="D187" s="153"/>
      <c r="E187" s="83">
        <f>IFERROR(ROUND(E179*IF(VLOOKUP(E$23,'[2]Apoio - Regime de Trabalho'!$A:$I,3,FALSE)="Diária",1,$D$9),2),"")</f>
        <v>3837115.7</v>
      </c>
      <c r="F187" s="83">
        <f>IFERROR(ROUND(F179*IF(VLOOKUP(F$23,'[2]Apoio - Regime de Trabalho'!$A:$I,3,FALSE)="Diária",1,$D$9),2),"")</f>
        <v>1412420.96</v>
      </c>
    </row>
    <row r="188" spans="1:8">
      <c r="E188" s="231"/>
      <c r="F188" s="231"/>
    </row>
  </sheetData>
  <mergeCells count="57">
    <mergeCell ref="B30:B32"/>
    <mergeCell ref="D2:E2"/>
    <mergeCell ref="D3:E3"/>
    <mergeCell ref="D4:E4"/>
    <mergeCell ref="D5:E5"/>
    <mergeCell ref="D6:E6"/>
    <mergeCell ref="D7:E7"/>
    <mergeCell ref="B156:F156"/>
    <mergeCell ref="B75:B78"/>
    <mergeCell ref="B83:B88"/>
    <mergeCell ref="B89:B93"/>
    <mergeCell ref="B94:B97"/>
    <mergeCell ref="B100:B103"/>
    <mergeCell ref="B105:B108"/>
    <mergeCell ref="B151:F151"/>
    <mergeCell ref="B149:F149"/>
    <mergeCell ref="B147:D147"/>
    <mergeCell ref="B142:D142"/>
    <mergeCell ref="B140:D140"/>
    <mergeCell ref="B144:F144"/>
    <mergeCell ref="B136:F136"/>
    <mergeCell ref="B137:B139"/>
    <mergeCell ref="B159:B161"/>
    <mergeCell ref="B181:F181"/>
    <mergeCell ref="B175:F175"/>
    <mergeCell ref="B169:F169"/>
    <mergeCell ref="B167:F167"/>
    <mergeCell ref="B165:D165"/>
    <mergeCell ref="B163:D163"/>
    <mergeCell ref="B62:F62"/>
    <mergeCell ref="B66:D66"/>
    <mergeCell ref="B134:D134"/>
    <mergeCell ref="B124:F124"/>
    <mergeCell ref="B122:F122"/>
    <mergeCell ref="B120:D120"/>
    <mergeCell ref="B113:F113"/>
    <mergeCell ref="B111:D111"/>
    <mergeCell ref="B109:D109"/>
    <mergeCell ref="B82:F82"/>
    <mergeCell ref="B80:D80"/>
    <mergeCell ref="B68:F68"/>
    <mergeCell ref="B60:F60"/>
    <mergeCell ref="B58:D58"/>
    <mergeCell ref="B28:F28"/>
    <mergeCell ref="B14:D14"/>
    <mergeCell ref="B1:E1"/>
    <mergeCell ref="B33:B36"/>
    <mergeCell ref="B37:B39"/>
    <mergeCell ref="B40:B43"/>
    <mergeCell ref="B44:B46"/>
    <mergeCell ref="B47:B50"/>
    <mergeCell ref="B51:B55"/>
    <mergeCell ref="D8:E8"/>
    <mergeCell ref="D9:E9"/>
    <mergeCell ref="D10:E10"/>
    <mergeCell ref="D11:E11"/>
    <mergeCell ref="D12:E12"/>
  </mergeCells>
  <conditionalFormatting sqref="D2:D9 E15:F24 E31:F31 E34:F35 E38:F38 E41:F42 E56:F57 E84:F87 E90:F92 E95:F96 E101:E102 E138:F138">
    <cfRule type="expression" dxfId="6" priority="6">
      <formula>$H$2=1</formula>
    </cfRule>
  </conditionalFormatting>
  <conditionalFormatting sqref="D6:D7 D10:D12 E16:F21 E31:F31 E34:F35 E38:F38 E41:F42 E56:F57 D76:D77 E85:F87 E90:F92 E95:F96 E101:E102 D125:D133 E138:F138">
    <cfRule type="expression" dxfId="5" priority="7">
      <formula>$H$2=2</formula>
    </cfRule>
  </conditionalFormatting>
  <conditionalFormatting sqref="D12 E17:F17 E20:F21 E84:F84 E90:F90 E95:F95 E98:F99 E101:F101 E104:F104 E106:F106">
    <cfRule type="expression" dxfId="4" priority="5">
      <formula>$H$2=4</formula>
    </cfRule>
  </conditionalFormatting>
  <conditionalFormatting sqref="E48:F49">
    <cfRule type="expression" dxfId="3" priority="3">
      <formula>$H$2=1</formula>
    </cfRule>
    <cfRule type="expression" dxfId="2" priority="4">
      <formula>$H$2=2</formula>
    </cfRule>
  </conditionalFormatting>
  <conditionalFormatting sqref="E160:F160">
    <cfRule type="expression" dxfId="1" priority="1">
      <formula>$H$2=1</formula>
    </cfRule>
    <cfRule type="expression" dxfId="0" priority="2">
      <formula>$H$2=2</formula>
    </cfRule>
  </conditionalFormatting>
  <dataValidations count="12">
    <dataValidation showInputMessage="1" sqref="D139 D161"/>
    <dataValidation type="list" allowBlank="1" showInputMessage="1" showErrorMessage="1" sqref="D53">
      <formula1>"Sim,Não"</formula1>
    </dataValidation>
    <dataValidation type="list" showInputMessage="1" sqref="E138:F138 D137:D138">
      <formula1>"Indenização,Rendição,Não"</formula1>
    </dataValidation>
    <dataValidation type="whole" allowBlank="1" showInputMessage="1" showErrorMessage="1" errorTitle="Erro de entrada" error="Informar a duração do contrato em meses" sqref="D9:E9">
      <formula1>1</formula1>
      <formula2>360</formula2>
    </dataValidation>
    <dataValidation type="list" allowBlank="1" showInputMessage="1" sqref="D8:E8">
      <formula1>"Valor Global,Mês,Dia,Hora"</formula1>
    </dataValidation>
    <dataValidation type="list" allowBlank="1" showInputMessage="1" sqref="E18:F18">
      <formula1>"180,200,220"</formula1>
    </dataValidation>
    <dataValidation type="list" sqref="E31:F31">
      <formula1>"0%,30%"</formula1>
    </dataValidation>
    <dataValidation sqref="E37:F38 E40:F40 E44:F44 E47:F47 E51:F51 E30:F30 E33:F33"/>
    <dataValidation type="list" sqref="E34:F34">
      <formula1>"Salário Base, Salário Mínimo,Não incide"</formula1>
    </dataValidation>
    <dataValidation type="list" sqref="E35:F35">
      <formula1>"0,10%,20%,40%"</formula1>
    </dataValidation>
    <dataValidation type="list" allowBlank="1" sqref="E35:F35">
      <formula1>"0%,10%,20%,40%"</formula1>
    </dataValidation>
    <dataValidation type="list" allowBlank="1" sqref="E48:F48">
      <formula1>"0%,50%,100%"</formula1>
    </dataValidation>
  </dataValidations>
  <hyperlinks>
    <hyperlink ref="C145" location="'Mat Individual e Uniformes func'!A1" display="Material Individual e Uniformes"/>
    <hyperlink ref="C146" location="'Mat Coletivo e Equipamentos'!A1" display="Material Coletivo e Equipamentos"/>
    <hyperlink ref="E21:F21" r:id="rId1" display="http://www3.mte.gov.br/sistemas/mediador/ConsultarInstColetivo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C5" sqref="C5"/>
    </sheetView>
  </sheetViews>
  <sheetFormatPr defaultRowHeight="14.25"/>
  <cols>
    <col min="1" max="1" width="1.5" style="22" customWidth="1"/>
    <col min="2" max="2" width="7.5" style="22" customWidth="1"/>
    <col min="3" max="3" width="19.625" style="22" bestFit="1" customWidth="1"/>
    <col min="4" max="4" width="14" style="31" customWidth="1"/>
    <col min="5" max="5" width="22.375" style="22" customWidth="1"/>
    <col min="6" max="6" width="0.625" style="22" customWidth="1"/>
    <col min="7" max="8" width="14.625" style="22" customWidth="1"/>
    <col min="9" max="16384" width="9" style="26"/>
  </cols>
  <sheetData>
    <row r="2" spans="2:8" ht="29.45" customHeight="1">
      <c r="B2" s="19" t="s">
        <v>166</v>
      </c>
      <c r="C2" s="20"/>
      <c r="D2" s="20"/>
      <c r="E2" s="21"/>
      <c r="F2" s="23"/>
      <c r="G2" s="24" t="s">
        <v>167</v>
      </c>
      <c r="H2" s="25"/>
    </row>
    <row r="3" spans="2:8" ht="16.5">
      <c r="B3" s="16" t="s">
        <v>168</v>
      </c>
      <c r="C3" s="16" t="s">
        <v>169</v>
      </c>
      <c r="D3" s="16" t="s">
        <v>170</v>
      </c>
      <c r="E3" s="16" t="s">
        <v>52</v>
      </c>
      <c r="F3" s="23"/>
      <c r="G3" s="16" t="str">
        <f xml:space="preserve">
IF(IFERROR(SUM([2]Produtividade!$L$195:$L$220)&gt;0,FALSE()),[2]Produtividade!E17,'[2]Mão de Obra'!E17)</f>
        <v>Posto A</v>
      </c>
      <c r="H3" s="16" t="str">
        <f xml:space="preserve">
IF(IFERROR(SUM([2]Produtividade!$L$195:$L$220)&gt;0,FALSE()),[2]Produtividade!F17,'[2]Mão de Obra'!F17)</f>
        <v>Posto B</v>
      </c>
    </row>
    <row r="4" spans="2:8" ht="6" customHeight="1">
      <c r="B4" s="23"/>
      <c r="C4" s="23"/>
      <c r="D4" s="23"/>
      <c r="E4" s="23"/>
      <c r="F4" s="23"/>
      <c r="G4" s="23"/>
      <c r="H4" s="23"/>
    </row>
    <row r="5" spans="2:8" ht="16.5">
      <c r="B5" s="27">
        <v>1</v>
      </c>
      <c r="C5" s="28" t="s">
        <v>171</v>
      </c>
      <c r="D5" s="27" t="s">
        <v>172</v>
      </c>
      <c r="E5" s="1">
        <v>13.5</v>
      </c>
      <c r="F5" s="23"/>
      <c r="G5" s="27">
        <v>2</v>
      </c>
      <c r="H5" s="27">
        <v>2</v>
      </c>
    </row>
    <row r="6" spans="2:8" ht="16.5">
      <c r="B6" s="27">
        <v>2</v>
      </c>
      <c r="C6" s="28" t="s">
        <v>173</v>
      </c>
      <c r="D6" s="27" t="s">
        <v>172</v>
      </c>
      <c r="E6" s="1">
        <v>72.5</v>
      </c>
      <c r="F6" s="23"/>
      <c r="G6" s="27">
        <v>1</v>
      </c>
      <c r="H6" s="27">
        <v>1</v>
      </c>
    </row>
    <row r="7" spans="2:8" ht="16.5">
      <c r="B7" s="27">
        <v>3</v>
      </c>
      <c r="C7" s="28" t="s">
        <v>174</v>
      </c>
      <c r="D7" s="27" t="s">
        <v>175</v>
      </c>
      <c r="E7" s="1">
        <v>12.14</v>
      </c>
      <c r="F7" s="23"/>
      <c r="G7" s="27">
        <v>1</v>
      </c>
      <c r="H7" s="27">
        <v>1</v>
      </c>
    </row>
    <row r="8" spans="2:8" ht="16.5">
      <c r="B8" s="27">
        <v>4</v>
      </c>
      <c r="C8" s="28" t="s">
        <v>176</v>
      </c>
      <c r="D8" s="27" t="s">
        <v>175</v>
      </c>
      <c r="E8" s="1">
        <v>3.28</v>
      </c>
      <c r="F8" s="23"/>
      <c r="G8" s="27">
        <v>1</v>
      </c>
      <c r="H8" s="27">
        <v>1</v>
      </c>
    </row>
    <row r="9" spans="2:8" ht="16.5">
      <c r="B9" s="27">
        <v>5</v>
      </c>
      <c r="C9" s="28" t="s">
        <v>177</v>
      </c>
      <c r="D9" s="27" t="s">
        <v>175</v>
      </c>
      <c r="E9" s="1">
        <v>32.69</v>
      </c>
      <c r="F9" s="23"/>
      <c r="G9" s="27">
        <v>1</v>
      </c>
      <c r="H9" s="27">
        <v>1</v>
      </c>
    </row>
    <row r="10" spans="2:8" ht="16.5">
      <c r="B10" s="23"/>
      <c r="C10" s="23"/>
      <c r="D10" s="29"/>
      <c r="E10" s="23"/>
      <c r="F10" s="23"/>
      <c r="G10" s="23"/>
      <c r="H10" s="23"/>
    </row>
    <row r="11" spans="2:8" ht="16.5">
      <c r="B11" s="23"/>
      <c r="C11" s="23"/>
      <c r="D11" s="29"/>
      <c r="E11" s="17" t="s">
        <v>178</v>
      </c>
      <c r="F11" s="23"/>
      <c r="G11" s="18">
        <f>IFERROR(ROUND(SUMPRODUCT(G4:G10,$E$4:$E$10),2),"")</f>
        <v>147.61000000000001</v>
      </c>
      <c r="H11" s="18">
        <f>IFERROR(ROUND(SUMPRODUCT(H4:H10,$E$4:$E$10),2),"")</f>
        <v>147.61000000000001</v>
      </c>
    </row>
    <row r="12" spans="2:8" ht="16.5">
      <c r="B12" s="23"/>
      <c r="C12" s="23"/>
      <c r="D12" s="29"/>
      <c r="E12" s="23"/>
      <c r="F12" s="23"/>
      <c r="G12" s="23"/>
      <c r="H12" s="30"/>
    </row>
    <row r="13" spans="2:8" ht="16.5">
      <c r="B13" s="23"/>
      <c r="C13" s="23"/>
      <c r="D13" s="29"/>
      <c r="E13" s="23"/>
      <c r="F13" s="23"/>
      <c r="G13" s="23"/>
      <c r="H13" s="23"/>
    </row>
  </sheetData>
  <mergeCells count="2">
    <mergeCell ref="B2:E2"/>
    <mergeCell ref="G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PROPOSTA</vt:lpstr>
      <vt:lpstr>UNIFORMES, MATERIAIS E EPIs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Serviços Comercial</dc:creator>
  <cp:lastModifiedBy>Valter Gustavo Gadea Aczel</cp:lastModifiedBy>
  <dcterms:created xsi:type="dcterms:W3CDTF">2024-06-04T19:26:05Z</dcterms:created>
  <dcterms:modified xsi:type="dcterms:W3CDTF">2024-06-18T20:26:36Z</dcterms:modified>
</cp:coreProperties>
</file>