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paulo.albano\Downloads\"/>
    </mc:Choice>
  </mc:AlternateContent>
  <xr:revisionPtr revIDLastSave="0" documentId="13_ncr:1_{7F68E860-5918-4031-9FD1-77ED22EA3495}" xr6:coauthVersionLast="47" xr6:coauthVersionMax="47" xr10:uidLastSave="{00000000-0000-0000-0000-000000000000}"/>
  <workbookProtection lockStructure="1"/>
  <bookViews>
    <workbookView xWindow="-120" yWindow="-120" windowWidth="29040" windowHeight="15720" activeTab="5" xr2:uid="{00000000-000D-0000-FFFF-FFFF00000000}"/>
  </bookViews>
  <sheets>
    <sheet name="Capa" sheetId="13" r:id="rId1"/>
    <sheet name="Premissas Operacionais" sheetId="12" r:id="rId2"/>
    <sheet name="Premissas Financeiras" sheetId="7" r:id="rId3"/>
    <sheet name="Fluxo de Caixa" sheetId="11" r:id="rId4"/>
    <sheet name="DFs_EmpresaNacional" sheetId="4" r:id="rId5"/>
    <sheet name="EarningRelease_Referência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vG4s297R2uA3YFmUg56rcmhdfKfO+Fz8a8uHazeoxU4="/>
    </ext>
  </extLst>
</workbook>
</file>

<file path=xl/calcChain.xml><?xml version="1.0" encoding="utf-8"?>
<calcChain xmlns="http://schemas.openxmlformats.org/spreadsheetml/2006/main">
  <c r="B25" i="7" l="1"/>
  <c r="G9" i="11" l="1"/>
  <c r="C21" i="7"/>
  <c r="B4" i="12" s="1"/>
  <c r="P9" i="11"/>
  <c r="P23" i="11" s="1"/>
  <c r="O9" i="11"/>
  <c r="O23" i="11" s="1"/>
  <c r="N9" i="11"/>
  <c r="N24" i="11" s="1"/>
  <c r="M9" i="11"/>
  <c r="M23" i="11" s="1"/>
  <c r="L9" i="11"/>
  <c r="L23" i="11" s="1"/>
  <c r="K9" i="11"/>
  <c r="J9" i="11"/>
  <c r="J24" i="11" s="1"/>
  <c r="I9" i="11"/>
  <c r="I23" i="11" s="1"/>
  <c r="H9" i="11"/>
  <c r="H23" i="11" s="1"/>
  <c r="B27" i="7" l="1"/>
  <c r="D21" i="7"/>
  <c r="L24" i="11"/>
  <c r="L21" i="11" s="1"/>
  <c r="H24" i="11"/>
  <c r="H21" i="11" s="1"/>
  <c r="R9" i="11"/>
  <c r="P24" i="11"/>
  <c r="P21" i="11" s="1"/>
  <c r="J23" i="11"/>
  <c r="J21" i="11" s="1"/>
  <c r="N23" i="11"/>
  <c r="N21" i="11" s="1"/>
  <c r="G24" i="11"/>
  <c r="K24" i="11"/>
  <c r="O24" i="11"/>
  <c r="O21" i="11" s="1"/>
  <c r="K23" i="11"/>
  <c r="K21" i="11" s="1"/>
  <c r="I24" i="11"/>
  <c r="I21" i="11" s="1"/>
  <c r="M24" i="11"/>
  <c r="M21" i="11" s="1"/>
  <c r="G23" i="11"/>
  <c r="R24" i="11" l="1"/>
  <c r="R23" i="11"/>
  <c r="G21" i="11"/>
  <c r="R21" i="11" s="1"/>
  <c r="F42" i="11"/>
  <c r="B12" i="7"/>
  <c r="B14" i="7" s="1"/>
  <c r="B16" i="7" s="1"/>
  <c r="B18" i="7" s="1"/>
  <c r="C26" i="7" s="1"/>
  <c r="O16" i="5"/>
  <c r="O15" i="5"/>
  <c r="O14" i="5"/>
  <c r="O18" i="5" s="1"/>
  <c r="O10" i="5"/>
  <c r="O9" i="5"/>
  <c r="O8" i="5"/>
  <c r="O12" i="5" s="1"/>
  <c r="Q11" i="4"/>
  <c r="P11" i="4"/>
  <c r="R5" i="4"/>
  <c r="Q5" i="4"/>
  <c r="G10" i="11" l="1"/>
  <c r="G8" i="11" s="1"/>
  <c r="G15" i="11" s="1"/>
  <c r="H43" i="11"/>
  <c r="L43" i="11"/>
  <c r="O43" i="11"/>
  <c r="I43" i="11"/>
  <c r="I49" i="11" s="1"/>
  <c r="K43" i="11"/>
  <c r="N43" i="11"/>
  <c r="P43" i="11"/>
  <c r="P49" i="11" s="1"/>
  <c r="J43" i="11"/>
  <c r="M43" i="11"/>
  <c r="G43" i="11"/>
  <c r="F49" i="11"/>
  <c r="F51" i="11" s="1"/>
  <c r="O14" i="4"/>
  <c r="O8" i="4"/>
  <c r="G16" i="11" l="1"/>
  <c r="G17" i="11"/>
  <c r="G6" i="11"/>
  <c r="J10" i="11"/>
  <c r="J8" i="11" s="1"/>
  <c r="J16" i="11" s="1"/>
  <c r="O49" i="11"/>
  <c r="P10" i="11"/>
  <c r="P8" i="11" s="1"/>
  <c r="P16" i="11" s="1"/>
  <c r="O10" i="11"/>
  <c r="O8" i="11" s="1"/>
  <c r="O16" i="11" s="1"/>
  <c r="N49" i="11"/>
  <c r="H49" i="11"/>
  <c r="I10" i="11"/>
  <c r="I8" i="11" s="1"/>
  <c r="N10" i="11"/>
  <c r="N8" i="11" s="1"/>
  <c r="N16" i="11" s="1"/>
  <c r="M49" i="11"/>
  <c r="M10" i="11"/>
  <c r="M8" i="11" s="1"/>
  <c r="M16" i="11" s="1"/>
  <c r="L49" i="11"/>
  <c r="J49" i="11"/>
  <c r="K10" i="11"/>
  <c r="K8" i="11" s="1"/>
  <c r="K16" i="11" s="1"/>
  <c r="R43" i="11"/>
  <c r="G49" i="11"/>
  <c r="H10" i="11"/>
  <c r="H8" i="11" s="1"/>
  <c r="K49" i="11"/>
  <c r="L10" i="11"/>
  <c r="L8" i="11" s="1"/>
  <c r="L16" i="11" s="1"/>
  <c r="J6" i="11" l="1"/>
  <c r="J17" i="11"/>
  <c r="J15" i="11"/>
  <c r="J14" i="11" s="1"/>
  <c r="H16" i="11"/>
  <c r="H15" i="11"/>
  <c r="H17" i="11"/>
  <c r="R8" i="11"/>
  <c r="I16" i="11"/>
  <c r="I17" i="11"/>
  <c r="H6" i="11"/>
  <c r="N17" i="11"/>
  <c r="N15" i="11"/>
  <c r="N6" i="11"/>
  <c r="P6" i="11"/>
  <c r="P15" i="11"/>
  <c r="P17" i="11"/>
  <c r="L17" i="11"/>
  <c r="L6" i="11"/>
  <c r="L15" i="11"/>
  <c r="I15" i="11"/>
  <c r="I6" i="11"/>
  <c r="R49" i="11"/>
  <c r="M15" i="11"/>
  <c r="M17" i="11"/>
  <c r="M6" i="11"/>
  <c r="K17" i="11"/>
  <c r="K6" i="11"/>
  <c r="K15" i="11"/>
  <c r="R10" i="11"/>
  <c r="G14" i="11"/>
  <c r="G19" i="11" s="1"/>
  <c r="G26" i="11" s="1"/>
  <c r="G28" i="11" s="1"/>
  <c r="O17" i="11"/>
  <c r="O6" i="11"/>
  <c r="O15" i="11"/>
  <c r="J19" i="11" l="1"/>
  <c r="J26" i="11" s="1"/>
  <c r="J27" i="11" s="1"/>
  <c r="R16" i="11"/>
  <c r="O14" i="11"/>
  <c r="O19" i="11" s="1"/>
  <c r="O26" i="11" s="1"/>
  <c r="R15" i="11"/>
  <c r="I14" i="11"/>
  <c r="I19" i="11" s="1"/>
  <c r="I26" i="11" s="1"/>
  <c r="G27" i="11"/>
  <c r="G30" i="11" s="1"/>
  <c r="N14" i="11"/>
  <c r="N19" i="11" s="1"/>
  <c r="N26" i="11" s="1"/>
  <c r="R17" i="11"/>
  <c r="M14" i="11"/>
  <c r="M19" i="11" s="1"/>
  <c r="M26" i="11" s="1"/>
  <c r="P14" i="11"/>
  <c r="P19" i="11" s="1"/>
  <c r="P26" i="11" s="1"/>
  <c r="H14" i="11"/>
  <c r="H19" i="11" s="1"/>
  <c r="K14" i="11"/>
  <c r="K19" i="11" s="1"/>
  <c r="K26" i="11" s="1"/>
  <c r="L14" i="11"/>
  <c r="L19" i="11" s="1"/>
  <c r="L26" i="11" s="1"/>
  <c r="R6" i="11"/>
  <c r="J28" i="11" l="1"/>
  <c r="J30" i="11" s="1"/>
  <c r="J34" i="11" s="1"/>
  <c r="J37" i="11" s="1"/>
  <c r="J51" i="11" s="1"/>
  <c r="I27" i="11"/>
  <c r="I28" i="11"/>
  <c r="K28" i="11"/>
  <c r="K27" i="11"/>
  <c r="P28" i="11"/>
  <c r="P27" i="11"/>
  <c r="N27" i="11"/>
  <c r="N28" i="11"/>
  <c r="R14" i="11"/>
  <c r="M28" i="11"/>
  <c r="M27" i="11"/>
  <c r="O28" i="11"/>
  <c r="O27" i="11"/>
  <c r="H26" i="11"/>
  <c r="R19" i="11"/>
  <c r="L28" i="11"/>
  <c r="L27" i="11"/>
  <c r="G34" i="11"/>
  <c r="P30" i="11" l="1"/>
  <c r="P34" i="11" s="1"/>
  <c r="P37" i="11" s="1"/>
  <c r="P51" i="11" s="1"/>
  <c r="L30" i="11"/>
  <c r="L34" i="11" s="1"/>
  <c r="L37" i="11" s="1"/>
  <c r="L51" i="11" s="1"/>
  <c r="O30" i="11"/>
  <c r="O34" i="11" s="1"/>
  <c r="O37" i="11" s="1"/>
  <c r="O51" i="11" s="1"/>
  <c r="M30" i="11"/>
  <c r="M34" i="11" s="1"/>
  <c r="M37" i="11" s="1"/>
  <c r="M51" i="11" s="1"/>
  <c r="N30" i="11"/>
  <c r="N34" i="11" s="1"/>
  <c r="N37" i="11" s="1"/>
  <c r="N51" i="11" s="1"/>
  <c r="I30" i="11"/>
  <c r="I34" i="11" s="1"/>
  <c r="I37" i="11" s="1"/>
  <c r="I51" i="11" s="1"/>
  <c r="H27" i="11"/>
  <c r="R27" i="11" s="1"/>
  <c r="H28" i="11"/>
  <c r="R26" i="11"/>
  <c r="K30" i="11"/>
  <c r="K34" i="11" s="1"/>
  <c r="K37" i="11" s="1"/>
  <c r="K51" i="11" s="1"/>
  <c r="G37" i="11"/>
  <c r="H30" i="11" l="1"/>
  <c r="R28" i="11"/>
  <c r="G51" i="11"/>
  <c r="H34" i="11" l="1"/>
  <c r="R30" i="11"/>
  <c r="H37" i="11" l="1"/>
  <c r="R34" i="11"/>
  <c r="H51" i="11" l="1"/>
  <c r="F47" i="11" s="1"/>
  <c r="R37" i="11"/>
  <c r="R51" i="11" l="1"/>
  <c r="F53" i="11"/>
</calcChain>
</file>

<file path=xl/sharedStrings.xml><?xml version="1.0" encoding="utf-8"?>
<sst xmlns="http://schemas.openxmlformats.org/spreadsheetml/2006/main" count="124" uniqueCount="102">
  <si>
    <t>FLUXO DE CAIXA (R$) - PLATAFORMA 1</t>
  </si>
  <si>
    <t>ANO</t>
  </si>
  <si>
    <t>TOTAL</t>
  </si>
  <si>
    <t>Discriminação / Períodos</t>
  </si>
  <si>
    <t>Receita Operacional Bruta</t>
  </si>
  <si>
    <t>(+) Receita dos Serviços Prestados</t>
  </si>
  <si>
    <t>Receita pelas atividades de Clearing House</t>
  </si>
  <si>
    <t>Ressarcimento dos validadores adquiridos</t>
  </si>
  <si>
    <t>(-) Deduções da Receita Bruta</t>
  </si>
  <si>
    <t>ISS (2,00%)</t>
  </si>
  <si>
    <t>PIS (0,65%)</t>
  </si>
  <si>
    <t>COFINS (3,00%)</t>
  </si>
  <si>
    <t>(=) Receita Operacional Líquida</t>
  </si>
  <si>
    <t xml:space="preserve">(-) Custo Operacional </t>
  </si>
  <si>
    <t>Custo total dos serviços prestados</t>
  </si>
  <si>
    <r>
      <rPr>
        <sz val="9"/>
        <color theme="1"/>
        <rFont val="Arial"/>
        <family val="2"/>
      </rPr>
      <t xml:space="preserve">Despesas Administrativas </t>
    </r>
    <r>
      <rPr>
        <i/>
        <sz val="9"/>
        <color theme="1"/>
        <rFont val="Arial"/>
        <family val="2"/>
      </rPr>
      <t>(Considerando Economias de Escala)</t>
    </r>
  </si>
  <si>
    <t>(=) Resultado Operacional antes do IR e CSLL</t>
  </si>
  <si>
    <t>IR (25%)</t>
  </si>
  <si>
    <t>CSLL (9%)</t>
  </si>
  <si>
    <t>(=) Resultado Operacional Líquido</t>
  </si>
  <si>
    <t>FLUXO DE CAIXA LÍQUIDO</t>
  </si>
  <si>
    <t xml:space="preserve">A ) E N T R A D A S </t>
  </si>
  <si>
    <t>Resultado operacional líquido</t>
  </si>
  <si>
    <t>TOTAL DAS ENTRADAS</t>
  </si>
  <si>
    <t>B ) S A Í D A S</t>
  </si>
  <si>
    <t>1) Capital Próprio Investido na Operação</t>
  </si>
  <si>
    <t>Dispositivos embarcados nos veículos</t>
  </si>
  <si>
    <t>Reposição de Validadores (taxa de reposição 10% a.a.)</t>
  </si>
  <si>
    <t>TAXA DE RETORNO DO PROJETO (10 ANOS DE CONTRATO)</t>
  </si>
  <si>
    <t>TOTAL DAS SAÍDAS</t>
  </si>
  <si>
    <t>C) FLUXO DE CAIXA LÍQUIDO (10 ANOS CONTRATO)</t>
  </si>
  <si>
    <t>VPL da operação (10 ANOS)</t>
  </si>
  <si>
    <t>CsP (% RL)</t>
  </si>
  <si>
    <t>Estabilização pós pandemia (média do setor)</t>
  </si>
  <si>
    <t>G&amp;A (% RL)</t>
  </si>
  <si>
    <t>Fonte:</t>
  </si>
  <si>
    <t>http://diariooficial.imprensaoficial.com.br/doflash/prototipo/2021/Maio/18/empresarial/pdf/pg_0010.pdf</t>
  </si>
  <si>
    <t>CoS 1Q23</t>
  </si>
  <si>
    <t>CoS 1H23</t>
  </si>
  <si>
    <t>CoS 9M23</t>
  </si>
  <si>
    <t>Média</t>
  </si>
  <si>
    <t>G&amp;A 1Q23</t>
  </si>
  <si>
    <t>G&amp;A 1H23</t>
  </si>
  <si>
    <t>G&amp;A 9M23</t>
  </si>
  <si>
    <t>WACC</t>
  </si>
  <si>
    <t>Custo de capital (Ke)</t>
  </si>
  <si>
    <t>Fonte</t>
  </si>
  <si>
    <t>Taxa livre de Risco</t>
  </si>
  <si>
    <t>Rf</t>
  </si>
  <si>
    <t>Tesouro Direto (IPCA+ 2035)</t>
  </si>
  <si>
    <t>Beta desalavancado</t>
  </si>
  <si>
    <t>Bd</t>
  </si>
  <si>
    <t>ECONOMÁTICA</t>
  </si>
  <si>
    <t>Equity</t>
  </si>
  <si>
    <t>E/(D+E)</t>
  </si>
  <si>
    <t>Dívida</t>
  </si>
  <si>
    <t>D/(D+E)</t>
  </si>
  <si>
    <t>Imposto sobre a Renda</t>
  </si>
  <si>
    <t>t</t>
  </si>
  <si>
    <t>Beta alavancado</t>
  </si>
  <si>
    <t>Ba</t>
  </si>
  <si>
    <t>Prêmio de Risco Mercado</t>
  </si>
  <si>
    <t>Rm-Rf</t>
  </si>
  <si>
    <t>Nefin</t>
  </si>
  <si>
    <t>Prêmio de Risco País</t>
  </si>
  <si>
    <t>Rp</t>
  </si>
  <si>
    <t>Damodaran</t>
  </si>
  <si>
    <t>Ke Nominal US$</t>
  </si>
  <si>
    <t>Ke US$ = Rf + Ba*(Rm-Rf) +Rp</t>
  </si>
  <si>
    <t>Calculado</t>
  </si>
  <si>
    <t>Diferencial de inflação</t>
  </si>
  <si>
    <t>I</t>
  </si>
  <si>
    <t>Banco Central do Brasil e Federal Reserve USA (diferencial de metas)</t>
  </si>
  <si>
    <t>Ke Nominal R$</t>
  </si>
  <si>
    <t>Ke R$ = (1+Ke US$)*(1+I)-1</t>
  </si>
  <si>
    <t>Taxa de inflação</t>
  </si>
  <si>
    <t>IPC</t>
  </si>
  <si>
    <t>Banco Central do Brasil (meta)</t>
  </si>
  <si>
    <t>Ke Real R$</t>
  </si>
  <si>
    <t>Ke R$ Real = (1+Ke R$) /(1+IPC)-1</t>
  </si>
  <si>
    <t>Custo da Dívida antes de Impostos</t>
  </si>
  <si>
    <t>Kd</t>
  </si>
  <si>
    <t>Kd*(1-t)*D/(E+D) + Ke*E/(E+D)</t>
  </si>
  <si>
    <t>Valor atualizado Jan/2026</t>
  </si>
  <si>
    <t>Total investimento em validadores</t>
  </si>
  <si>
    <t>Receita pelas atividades de Clearing House (atualizado pelo IPCA)</t>
  </si>
  <si>
    <t>Validadores Ônibus (atualizado pelo IPCA)</t>
  </si>
  <si>
    <t>IPCA Acum. Nov/2023 a Jan/2026 (%)</t>
  </si>
  <si>
    <t xml:space="preserve">VPL (Taxa de desconto) = </t>
  </si>
  <si>
    <t xml:space="preserve">Validadores </t>
  </si>
  <si>
    <t xml:space="preserve">Valor dos Validadores </t>
  </si>
  <si>
    <t xml:space="preserve"> Nov/2023</t>
  </si>
  <si>
    <t>Receita pelas atividades de Clearing House - atualizada IPCA - 10,59%</t>
  </si>
  <si>
    <t>Página 52, do Relatório do Produto 5, correspondente aos valores médios propostos por duas empresas para a prestação do serviço de Clearing, considerando 1.300 ônibus e 200 lotações, equivalente a R$563.692,13 mês, que anualisados totalizam R$6.764.305,50</t>
  </si>
  <si>
    <t>POA</t>
  </si>
  <si>
    <t>Reserva Técnica</t>
  </si>
  <si>
    <t>Taxa de Reposição</t>
  </si>
  <si>
    <t>Tempo de Amortização do Investimento Inicial (anos)</t>
  </si>
  <si>
    <t>Preço máximo do validador em jan/2026</t>
  </si>
  <si>
    <t>Frota total</t>
  </si>
  <si>
    <t xml:space="preserve">PREMISSAS FINANCEIRAS </t>
  </si>
  <si>
    <t>PREMISSAS OPERACIONAIS SBE PORTO ALEGRE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</si>
</sst>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0.000%"/>
    <numFmt numFmtId="165" formatCode="0.0%"/>
    <numFmt numFmtId="166" formatCode="_-* #,##0_-;\-* #,##0_-;_-* &quot;-&quot;??_-;_-@"/>
    <numFmt numFmtId="167" formatCode="#,##0.00_ ;\-#,##0.00\ "/>
  </numFmts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i/>
      <sz val="9"/>
      <color theme="1"/>
      <name val="Arial"/>
      <family val="2"/>
    </font>
    <font>
      <sz val="9"/>
      <color theme="0"/>
      <name val="Arial"/>
      <family val="2"/>
    </font>
    <font>
      <sz val="9"/>
      <color rgb="FFD9E2F3"/>
      <name val="Arial"/>
      <family val="2"/>
    </font>
    <font>
      <sz val="11"/>
      <color theme="1"/>
      <name val="Arial"/>
      <family val="2"/>
    </font>
    <font>
      <u/>
      <sz val="9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color theme="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2F5496"/>
        <bgColor rgb="FF2F5496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rgb="FF2F5496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6" fillId="0" borderId="0" applyFont="0" applyFill="0" applyBorder="0" applyAlignment="0" applyProtection="0"/>
    <xf numFmtId="0" fontId="1" fillId="0" borderId="1"/>
    <xf numFmtId="9" fontId="1" fillId="0" borderId="1" applyFont="0" applyFill="0" applyBorder="0" applyAlignment="0" applyProtection="0"/>
  </cellStyleXfs>
  <cellXfs count="98">
    <xf numFmtId="0" fontId="0" fillId="0" borderId="0" xfId="0"/>
    <xf numFmtId="0" fontId="7" fillId="2" borderId="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right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3" fontId="11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quotePrefix="1" applyFont="1" applyFill="1" applyBorder="1"/>
    <xf numFmtId="4" fontId="11" fillId="2" borderId="1" xfId="0" applyNumberFormat="1" applyFont="1" applyFill="1" applyBorder="1" applyAlignment="1">
      <alignment horizontal="center"/>
    </xf>
    <xf numFmtId="0" fontId="10" fillId="3" borderId="1" xfId="0" quotePrefix="1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9" fontId="8" fillId="2" borderId="1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4" borderId="1" xfId="0" applyFont="1" applyFill="1" applyBorder="1"/>
    <xf numFmtId="3" fontId="9" fillId="4" borderId="1" xfId="0" applyNumberFormat="1" applyFont="1" applyFill="1" applyBorder="1" applyAlignment="1">
      <alignment horizontal="center"/>
    </xf>
    <xf numFmtId="0" fontId="9" fillId="0" borderId="0" xfId="0" applyFont="1"/>
    <xf numFmtId="166" fontId="8" fillId="0" borderId="0" xfId="0" applyNumberFormat="1" applyFont="1" applyAlignment="1">
      <alignment horizontal="center"/>
    </xf>
    <xf numFmtId="0" fontId="14" fillId="0" borderId="0" xfId="0" applyFont="1"/>
    <xf numFmtId="0" fontId="6" fillId="0" borderId="2" xfId="0" applyFont="1" applyBorder="1"/>
    <xf numFmtId="0" fontId="7" fillId="0" borderId="2" xfId="0" applyFont="1" applyBorder="1"/>
    <xf numFmtId="165" fontId="6" fillId="0" borderId="0" xfId="0" applyNumberFormat="1" applyFont="1" applyAlignment="1">
      <alignment horizontal="center"/>
    </xf>
    <xf numFmtId="165" fontId="8" fillId="0" borderId="0" xfId="0" applyNumberFormat="1" applyFont="1"/>
    <xf numFmtId="165" fontId="6" fillId="0" borderId="0" xfId="0" applyNumberFormat="1" applyFont="1"/>
    <xf numFmtId="165" fontId="7" fillId="4" borderId="1" xfId="0" applyNumberFormat="1" applyFont="1" applyFill="1" applyBorder="1"/>
    <xf numFmtId="0" fontId="15" fillId="0" borderId="0" xfId="0" applyFont="1"/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4" fontId="0" fillId="0" borderId="0" xfId="0" applyNumberFormat="1"/>
    <xf numFmtId="4" fontId="17" fillId="0" borderId="0" xfId="0" applyNumberFormat="1" applyFont="1"/>
    <xf numFmtId="0" fontId="17" fillId="0" borderId="0" xfId="0" applyFont="1"/>
    <xf numFmtId="0" fontId="5" fillId="0" borderId="0" xfId="0" applyFont="1"/>
    <xf numFmtId="0" fontId="19" fillId="0" borderId="3" xfId="0" applyFont="1" applyBorder="1"/>
    <xf numFmtId="10" fontId="19" fillId="5" borderId="3" xfId="0" applyNumberFormat="1" applyFont="1" applyFill="1" applyBorder="1"/>
    <xf numFmtId="0" fontId="19" fillId="5" borderId="3" xfId="0" applyFont="1" applyFill="1" applyBorder="1"/>
    <xf numFmtId="10" fontId="20" fillId="5" borderId="3" xfId="0" applyNumberFormat="1" applyFont="1" applyFill="1" applyBorder="1"/>
    <xf numFmtId="10" fontId="19" fillId="5" borderId="4" xfId="0" applyNumberFormat="1" applyFont="1" applyFill="1" applyBorder="1"/>
    <xf numFmtId="0" fontId="19" fillId="0" borderId="5" xfId="0" applyFont="1" applyBorder="1"/>
    <xf numFmtId="10" fontId="18" fillId="5" borderId="6" xfId="0" applyNumberFormat="1" applyFont="1" applyFill="1" applyBorder="1" applyAlignment="1">
      <alignment vertical="center"/>
    </xf>
    <xf numFmtId="44" fontId="0" fillId="0" borderId="3" xfId="1" applyFont="1" applyBorder="1"/>
    <xf numFmtId="0" fontId="0" fillId="0" borderId="1" xfId="0" applyBorder="1"/>
    <xf numFmtId="0" fontId="19" fillId="6" borderId="0" xfId="0" applyFont="1" applyFill="1"/>
    <xf numFmtId="0" fontId="21" fillId="6" borderId="0" xfId="0" applyFont="1" applyFill="1"/>
    <xf numFmtId="10" fontId="0" fillId="0" borderId="3" xfId="0" applyNumberFormat="1" applyBorder="1"/>
    <xf numFmtId="0" fontId="19" fillId="6" borderId="0" xfId="0" applyFont="1" applyFill="1" applyAlignment="1">
      <alignment horizontal="right"/>
    </xf>
    <xf numFmtId="0" fontId="19" fillId="0" borderId="3" xfId="0" applyFont="1" applyBorder="1" applyAlignment="1">
      <alignment horizontal="right"/>
    </xf>
    <xf numFmtId="0" fontId="20" fillId="0" borderId="3" xfId="0" applyFont="1" applyBorder="1" applyAlignment="1">
      <alignment horizontal="right"/>
    </xf>
    <xf numFmtId="0" fontId="19" fillId="0" borderId="7" xfId="0" applyFont="1" applyBorder="1" applyAlignment="1">
      <alignment horizontal="right"/>
    </xf>
    <xf numFmtId="0" fontId="21" fillId="6" borderId="0" xfId="0" applyFont="1" applyFill="1" applyAlignment="1">
      <alignment horizontal="right"/>
    </xf>
    <xf numFmtId="44" fontId="0" fillId="0" borderId="3" xfId="0" applyNumberFormat="1" applyBorder="1" applyAlignment="1">
      <alignment horizontal="right"/>
    </xf>
    <xf numFmtId="167" fontId="0" fillId="0" borderId="3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3" fontId="22" fillId="2" borderId="1" xfId="0" applyNumberFormat="1" applyFont="1" applyFill="1" applyBorder="1" applyAlignment="1">
      <alignment horizontal="center"/>
    </xf>
    <xf numFmtId="3" fontId="23" fillId="2" borderId="1" xfId="0" applyNumberFormat="1" applyFont="1" applyFill="1" applyBorder="1" applyAlignment="1">
      <alignment horizontal="center"/>
    </xf>
    <xf numFmtId="0" fontId="22" fillId="2" borderId="1" xfId="0" applyFont="1" applyFill="1" applyBorder="1"/>
    <xf numFmtId="0" fontId="24" fillId="7" borderId="1" xfId="0" quotePrefix="1" applyFont="1" applyFill="1" applyBorder="1"/>
    <xf numFmtId="0" fontId="24" fillId="7" borderId="1" xfId="0" applyFont="1" applyFill="1" applyBorder="1"/>
    <xf numFmtId="3" fontId="24" fillId="7" borderId="1" xfId="0" applyNumberFormat="1" applyFont="1" applyFill="1" applyBorder="1" applyAlignment="1">
      <alignment horizontal="center"/>
    </xf>
    <xf numFmtId="0" fontId="19" fillId="0" borderId="1" xfId="0" applyFont="1" applyBorder="1"/>
    <xf numFmtId="10" fontId="0" fillId="0" borderId="0" xfId="0" applyNumberForma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0" fontId="9" fillId="4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44" fontId="0" fillId="0" borderId="0" xfId="0" applyNumberFormat="1"/>
    <xf numFmtId="44" fontId="25" fillId="0" borderId="3" xfId="1" applyFont="1" applyBorder="1"/>
    <xf numFmtId="0" fontId="1" fillId="0" borderId="3" xfId="2" applyBorder="1"/>
    <xf numFmtId="0" fontId="25" fillId="0" borderId="3" xfId="2" applyFont="1" applyBorder="1" applyAlignment="1">
      <alignment horizontal="center" vertical="center"/>
    </xf>
    <xf numFmtId="0" fontId="1" fillId="0" borderId="1" xfId="2"/>
    <xf numFmtId="3" fontId="1" fillId="0" borderId="3" xfId="2" applyNumberFormat="1" applyBorder="1" applyAlignment="1">
      <alignment horizontal="center" vertical="center"/>
    </xf>
    <xf numFmtId="9" fontId="0" fillId="0" borderId="3" xfId="3" applyFont="1" applyBorder="1" applyAlignment="1">
      <alignment horizontal="center" vertical="center"/>
    </xf>
    <xf numFmtId="3" fontId="1" fillId="0" borderId="1" xfId="2" applyNumberFormat="1"/>
    <xf numFmtId="0" fontId="1" fillId="0" borderId="3" xfId="2" applyBorder="1" applyAlignment="1">
      <alignment horizontal="center" vertical="center"/>
    </xf>
    <xf numFmtId="44" fontId="1" fillId="0" borderId="3" xfId="1" applyFont="1" applyBorder="1" applyAlignment="1">
      <alignment horizontal="center" vertical="center"/>
    </xf>
    <xf numFmtId="0" fontId="25" fillId="0" borderId="8" xfId="2" applyFont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25" fillId="0" borderId="0" xfId="0" applyFont="1" applyAlignment="1">
      <alignment horizontal="center"/>
    </xf>
  </cellXfs>
  <cellStyles count="4">
    <cellStyle name="Moeda" xfId="1" builtinId="4"/>
    <cellStyle name="Normal" xfId="0" builtinId="0"/>
    <cellStyle name="Normal 2" xfId="2" xr:uid="{56267602-B5CF-49DB-9767-F96B2C7F2633}"/>
    <cellStyle name="Porcentagem 2" xfId="3" xr:uid="{8D26A32E-FEAF-4874-BC9F-6F7FD9E19346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6</xdr:row>
      <xdr:rowOff>95249</xdr:rowOff>
    </xdr:from>
    <xdr:to>
      <xdr:col>14</xdr:col>
      <xdr:colOff>390525</xdr:colOff>
      <xdr:row>24</xdr:row>
      <xdr:rowOff>161924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B1127FD-8020-0B2B-7212-275B06E4D629}"/>
            </a:ext>
          </a:extLst>
        </xdr:cNvPr>
        <xdr:cNvSpPr txBox="1"/>
      </xdr:nvSpPr>
      <xdr:spPr>
        <a:xfrm>
          <a:off x="1362075" y="1181099"/>
          <a:ext cx="7562850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400" b="1"/>
            <a:t>FLUXO DE CAIXA REFERENCIAL – SBE PORTO ALEGRE</a:t>
          </a:r>
        </a:p>
        <a:p>
          <a:pPr algn="ctr"/>
          <a:r>
            <a:rPr lang="pt-BR" sz="1400" b="1"/>
            <a:t>Versão | SMMU / EPTC</a:t>
          </a:r>
        </a:p>
        <a:p>
          <a:pPr algn="ctr"/>
          <a:endParaRPr lang="pt-BR" sz="1400"/>
        </a:p>
        <a:p>
          <a:r>
            <a:rPr lang="pt-BR" sz="1400"/>
            <a:t>Esta planilha apresenta o fluxo de caixa referencial do Projeto Básico da Concessão do Sistema de Bilhetagem Eletrônica do Transporte Público de Porto Alegre/RS. Reúne as premissas e cálculos econômico-financeiros utilizados na modelagem do projeto, incluindo receitas, custos, investimentos, tributos, fluxo de caixa e indicadores de equilíbrio econômico-financeiro.</a:t>
          </a:r>
        </a:p>
        <a:p>
          <a:endParaRPr lang="pt-BR" sz="1400"/>
        </a:p>
        <a:p>
          <a:r>
            <a:rPr lang="pt-BR" sz="1400"/>
            <a:t>A presente versão constitui a base oficial de referência para a atualização das peças da licitação, especialmente edital, contrato, anexos econômico-financeiros.</a:t>
          </a:r>
        </a:p>
        <a:p>
          <a:endParaRPr lang="pt-BR" sz="1400"/>
        </a:p>
        <a:p>
          <a:r>
            <a:rPr lang="pt-BR" sz="1400"/>
            <a:t>A leitura desta planilha deve ser realizada em conjunto com os documentos técnicos, jurídicos e institucionais do Projeto Básico.</a:t>
          </a:r>
        </a:p>
        <a:p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447675</xdr:colOff>
      <xdr:row>0</xdr:row>
      <xdr:rowOff>142875</xdr:rowOff>
    </xdr:from>
    <xdr:ext cx="7524750" cy="2695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85725</xdr:rowOff>
    </xdr:from>
    <xdr:ext cx="6362700" cy="4200525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21</xdr:row>
      <xdr:rowOff>76200</xdr:rowOff>
    </xdr:from>
    <xdr:ext cx="6248400" cy="40005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238125</xdr:colOff>
      <xdr:row>42</xdr:row>
      <xdr:rowOff>0</xdr:rowOff>
    </xdr:from>
    <xdr:ext cx="5981700" cy="350520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diariooficial.imprensaoficial.com.br/doflash/prototipo/2021/Maio/18/empresarial/pdf/pg_0010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84C3E-80F5-45C9-90AD-D6C081743886}">
  <dimension ref="A1"/>
  <sheetViews>
    <sheetView topLeftCell="A4" workbookViewId="0">
      <selection activeCell="Q26" sqref="Q2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59FA8-EE07-44EA-AA3D-995E021EDCFC}">
  <sheetPr>
    <tabColor theme="3"/>
  </sheetPr>
  <dimension ref="A1:F7"/>
  <sheetViews>
    <sheetView showGridLines="0" workbookViewId="0">
      <selection sqref="A1:B1"/>
    </sheetView>
  </sheetViews>
  <sheetFormatPr defaultColWidth="9.140625" defaultRowHeight="15" x14ac:dyDescent="0.25"/>
  <cols>
    <col min="1" max="1" width="48.28515625" style="88" customWidth="1"/>
    <col min="2" max="2" width="11.5703125" style="88" bestFit="1" customWidth="1"/>
    <col min="3" max="16384" width="9.140625" style="88"/>
  </cols>
  <sheetData>
    <row r="1" spans="1:6" x14ac:dyDescent="0.25">
      <c r="A1" s="94" t="s">
        <v>101</v>
      </c>
      <c r="B1" s="94"/>
    </row>
    <row r="2" spans="1:6" x14ac:dyDescent="0.25">
      <c r="A2" s="86"/>
      <c r="B2" s="87" t="s">
        <v>94</v>
      </c>
    </row>
    <row r="3" spans="1:6" x14ac:dyDescent="0.25">
      <c r="A3" s="86" t="s">
        <v>99</v>
      </c>
      <c r="B3" s="89">
        <v>1300</v>
      </c>
    </row>
    <row r="4" spans="1:6" x14ac:dyDescent="0.25">
      <c r="A4" s="86" t="s">
        <v>98</v>
      </c>
      <c r="B4" s="93">
        <f>'Premissas Financeiras'!C21</f>
        <v>8486.6655667892301</v>
      </c>
    </row>
    <row r="5" spans="1:6" x14ac:dyDescent="0.25">
      <c r="A5" s="86" t="s">
        <v>95</v>
      </c>
      <c r="B5" s="90">
        <v>0.1</v>
      </c>
      <c r="F5" s="91"/>
    </row>
    <row r="6" spans="1:6" x14ac:dyDescent="0.25">
      <c r="A6" s="86" t="s">
        <v>96</v>
      </c>
      <c r="B6" s="90">
        <v>0.1</v>
      </c>
    </row>
    <row r="7" spans="1:6" x14ac:dyDescent="0.25">
      <c r="A7" s="86" t="s">
        <v>97</v>
      </c>
      <c r="B7" s="9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5F799-D1FB-4843-B580-58306E8B5572}">
  <sheetPr>
    <tabColor rgb="FFC00000"/>
  </sheetPr>
  <dimension ref="A1:E29"/>
  <sheetViews>
    <sheetView workbookViewId="0">
      <selection activeCell="G12" sqref="G12"/>
    </sheetView>
  </sheetViews>
  <sheetFormatPr defaultRowHeight="15" x14ac:dyDescent="0.25"/>
  <cols>
    <col min="1" max="1" width="32.5703125" customWidth="1"/>
    <col min="2" max="2" width="16.5703125" customWidth="1"/>
    <col min="3" max="3" width="31" style="68" customWidth="1"/>
    <col min="4" max="4" width="59.28515625" style="68" bestFit="1" customWidth="1"/>
  </cols>
  <sheetData>
    <row r="1" spans="1:4" x14ac:dyDescent="0.25">
      <c r="A1" s="97" t="s">
        <v>100</v>
      </c>
      <c r="B1" s="97"/>
      <c r="C1" s="97"/>
      <c r="D1" s="97"/>
    </row>
    <row r="2" spans="1:4" x14ac:dyDescent="0.25">
      <c r="A2" s="58" t="s">
        <v>44</v>
      </c>
      <c r="B2" s="57"/>
      <c r="C2" s="60"/>
      <c r="D2" s="60"/>
    </row>
    <row r="3" spans="1:4" x14ac:dyDescent="0.25">
      <c r="A3" s="48" t="s">
        <v>45</v>
      </c>
      <c r="B3" s="48"/>
      <c r="C3" s="61"/>
      <c r="D3" s="61" t="s">
        <v>46</v>
      </c>
    </row>
    <row r="4" spans="1:4" x14ac:dyDescent="0.25">
      <c r="A4" s="48" t="s">
        <v>47</v>
      </c>
      <c r="B4" s="49">
        <v>7.4800000000000005E-2</v>
      </c>
      <c r="C4" s="61" t="s">
        <v>48</v>
      </c>
      <c r="D4" s="61" t="s">
        <v>49</v>
      </c>
    </row>
    <row r="5" spans="1:4" x14ac:dyDescent="0.25">
      <c r="A5" s="48" t="s">
        <v>50</v>
      </c>
      <c r="B5" s="50">
        <v>0.51</v>
      </c>
      <c r="C5" s="61" t="s">
        <v>51</v>
      </c>
      <c r="D5" s="61" t="s">
        <v>52</v>
      </c>
    </row>
    <row r="6" spans="1:4" x14ac:dyDescent="0.25">
      <c r="A6" s="48" t="s">
        <v>53</v>
      </c>
      <c r="B6" s="49">
        <v>0.6</v>
      </c>
      <c r="C6" s="61" t="s">
        <v>54</v>
      </c>
      <c r="D6" s="61" t="s">
        <v>52</v>
      </c>
    </row>
    <row r="7" spans="1:4" x14ac:dyDescent="0.25">
      <c r="A7" s="48" t="s">
        <v>55</v>
      </c>
      <c r="B7" s="49">
        <v>0.4</v>
      </c>
      <c r="C7" s="61" t="s">
        <v>56</v>
      </c>
      <c r="D7" s="61" t="s">
        <v>52</v>
      </c>
    </row>
    <row r="8" spans="1:4" x14ac:dyDescent="0.25">
      <c r="A8" s="48" t="s">
        <v>57</v>
      </c>
      <c r="B8" s="49">
        <v>0.34</v>
      </c>
      <c r="C8" s="61" t="s">
        <v>58</v>
      </c>
      <c r="D8" s="61"/>
    </row>
    <row r="9" spans="1:4" x14ac:dyDescent="0.25">
      <c r="A9" s="48" t="s">
        <v>59</v>
      </c>
      <c r="B9" s="50">
        <v>0.74</v>
      </c>
      <c r="C9" s="61" t="s">
        <v>60</v>
      </c>
      <c r="D9" s="61" t="s">
        <v>52</v>
      </c>
    </row>
    <row r="10" spans="1:4" x14ac:dyDescent="0.25">
      <c r="A10" s="48" t="s">
        <v>61</v>
      </c>
      <c r="B10" s="49">
        <v>0.12379999999999999</v>
      </c>
      <c r="C10" s="61" t="s">
        <v>62</v>
      </c>
      <c r="D10" s="61" t="s">
        <v>63</v>
      </c>
    </row>
    <row r="11" spans="1:4" x14ac:dyDescent="0.25">
      <c r="A11" s="48" t="s">
        <v>64</v>
      </c>
      <c r="B11" s="49">
        <v>3.3399999999999999E-2</v>
      </c>
      <c r="C11" s="61" t="s">
        <v>65</v>
      </c>
      <c r="D11" s="61" t="s">
        <v>66</v>
      </c>
    </row>
    <row r="12" spans="1:4" x14ac:dyDescent="0.25">
      <c r="A12" s="48" t="s">
        <v>67</v>
      </c>
      <c r="B12" s="51">
        <f>B4+B9*(B10)+B11</f>
        <v>0.19981199999999999</v>
      </c>
      <c r="C12" s="61" t="s">
        <v>68</v>
      </c>
      <c r="D12" s="62" t="s">
        <v>69</v>
      </c>
    </row>
    <row r="13" spans="1:4" x14ac:dyDescent="0.25">
      <c r="A13" s="48" t="s">
        <v>70</v>
      </c>
      <c r="B13" s="49">
        <v>0.01</v>
      </c>
      <c r="C13" s="61" t="s">
        <v>71</v>
      </c>
      <c r="D13" s="61" t="s">
        <v>72</v>
      </c>
    </row>
    <row r="14" spans="1:4" x14ac:dyDescent="0.25">
      <c r="A14" s="48" t="s">
        <v>73</v>
      </c>
      <c r="B14" s="51">
        <f>(1+B12)*(1+B13)-1</f>
        <v>0.21181012000000021</v>
      </c>
      <c r="C14" s="61" t="s">
        <v>74</v>
      </c>
      <c r="D14" s="62" t="s">
        <v>69</v>
      </c>
    </row>
    <row r="15" spans="1:4" x14ac:dyDescent="0.25">
      <c r="A15" s="48" t="s">
        <v>75</v>
      </c>
      <c r="B15" s="49">
        <v>0.03</v>
      </c>
      <c r="C15" s="61" t="s">
        <v>76</v>
      </c>
      <c r="D15" s="61" t="s">
        <v>77</v>
      </c>
    </row>
    <row r="16" spans="1:4" x14ac:dyDescent="0.25">
      <c r="A16" s="48" t="s">
        <v>78</v>
      </c>
      <c r="B16" s="51">
        <f>(1+B14)/(1+B15)-1</f>
        <v>0.17651467961165057</v>
      </c>
      <c r="C16" s="61" t="s">
        <v>79</v>
      </c>
      <c r="D16" s="62" t="s">
        <v>69</v>
      </c>
    </row>
    <row r="17" spans="1:5" ht="15.75" thickBot="1" x14ac:dyDescent="0.3">
      <c r="A17" s="48" t="s">
        <v>80</v>
      </c>
      <c r="B17" s="52">
        <v>7.2999999999999995E-2</v>
      </c>
      <c r="C17" s="61" t="s">
        <v>81</v>
      </c>
      <c r="D17" s="61" t="s">
        <v>52</v>
      </c>
    </row>
    <row r="18" spans="1:5" ht="15.75" thickBot="1" x14ac:dyDescent="0.3">
      <c r="A18" s="53" t="s">
        <v>44</v>
      </c>
      <c r="B18" s="54">
        <f>ROUND(B17*(1-B8)*B7+B16*B6,4)</f>
        <v>0.12520000000000001</v>
      </c>
      <c r="C18" s="63" t="s">
        <v>82</v>
      </c>
      <c r="D18" s="62" t="s">
        <v>69</v>
      </c>
    </row>
    <row r="20" spans="1:5" x14ac:dyDescent="0.25">
      <c r="A20" s="58" t="s">
        <v>90</v>
      </c>
      <c r="B20" s="64" t="s">
        <v>91</v>
      </c>
      <c r="C20" s="64" t="s">
        <v>83</v>
      </c>
      <c r="D20" s="64" t="s">
        <v>84</v>
      </c>
      <c r="E20" s="56"/>
    </row>
    <row r="21" spans="1:5" x14ac:dyDescent="0.25">
      <c r="A21" s="48" t="s">
        <v>89</v>
      </c>
      <c r="B21" s="85">
        <v>7674.3161765526065</v>
      </c>
      <c r="C21" s="65">
        <f>B21*(1+(B22))</f>
        <v>8486.6655667892301</v>
      </c>
      <c r="D21" s="66">
        <f>ROUND(C21*'Premissas Operacionais'!B3*(1+'Premissas Operacionais'!B5),2)</f>
        <v>12135931.76</v>
      </c>
      <c r="E21" s="56"/>
    </row>
    <row r="22" spans="1:5" x14ac:dyDescent="0.25">
      <c r="A22" s="48" t="s">
        <v>87</v>
      </c>
      <c r="B22" s="59">
        <v>0.105853</v>
      </c>
      <c r="C22" s="67"/>
      <c r="D22" s="67"/>
      <c r="E22" s="56"/>
    </row>
    <row r="24" spans="1:5" ht="83.25" customHeight="1" x14ac:dyDescent="0.25">
      <c r="A24" s="69" t="s">
        <v>6</v>
      </c>
      <c r="B24" s="70">
        <v>6764305.5</v>
      </c>
      <c r="C24" s="95" t="s">
        <v>93</v>
      </c>
      <c r="D24" s="96"/>
    </row>
    <row r="25" spans="1:5" ht="83.25" customHeight="1" x14ac:dyDescent="0.25">
      <c r="A25" s="69" t="s">
        <v>92</v>
      </c>
      <c r="B25" s="70">
        <f>(B24*B22)+B24</f>
        <v>7480327.5300914999</v>
      </c>
      <c r="C25" s="82"/>
      <c r="D25" s="83"/>
    </row>
    <row r="26" spans="1:5" x14ac:dyDescent="0.25">
      <c r="A26" s="77" t="s">
        <v>88</v>
      </c>
      <c r="B26" s="79" t="s">
        <v>44</v>
      </c>
      <c r="C26" s="78">
        <f>B18</f>
        <v>0.12520000000000001</v>
      </c>
      <c r="D26" s="80"/>
    </row>
    <row r="27" spans="1:5" x14ac:dyDescent="0.25">
      <c r="A27" s="48" t="s">
        <v>89</v>
      </c>
      <c r="B27" s="55">
        <f>C21</f>
        <v>8486.6655667892301</v>
      </c>
      <c r="C27" s="80"/>
    </row>
    <row r="29" spans="1:5" x14ac:dyDescent="0.25">
      <c r="B29" s="84"/>
    </row>
  </sheetData>
  <mergeCells count="2">
    <mergeCell ref="C24:D24"/>
    <mergeCell ref="A1:D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D9DA0-C020-48AB-B910-8F2FB8A5CC2F}">
  <sheetPr>
    <tabColor theme="4" tint="-0.499984740745262"/>
  </sheetPr>
  <dimension ref="B2:R58"/>
  <sheetViews>
    <sheetView zoomScale="70" zoomScaleNormal="70" workbookViewId="0">
      <selection activeCell="B23" sqref="B23"/>
    </sheetView>
  </sheetViews>
  <sheetFormatPr defaultColWidth="14.42578125" defaultRowHeight="15" x14ac:dyDescent="0.25"/>
  <cols>
    <col min="1" max="1" width="0.42578125" customWidth="1"/>
    <col min="2" max="2" width="7.140625" customWidth="1"/>
    <col min="3" max="4" width="5.7109375" customWidth="1"/>
    <col min="5" max="5" width="35.7109375" customWidth="1"/>
    <col min="6" max="6" width="12.28515625" customWidth="1"/>
    <col min="7" max="16" width="13.28515625" customWidth="1"/>
    <col min="17" max="17" width="8.7109375" customWidth="1"/>
    <col min="18" max="18" width="13.28515625" customWidth="1"/>
    <col min="19" max="19" width="2.5703125" customWidth="1"/>
    <col min="20" max="38" width="8.85546875" customWidth="1"/>
  </cols>
  <sheetData>
    <row r="2" spans="2:18" ht="12" customHeight="1" x14ac:dyDescent="0.25">
      <c r="B2" s="1" t="s">
        <v>0</v>
      </c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</row>
    <row r="3" spans="2:18" ht="12" customHeight="1" x14ac:dyDescent="0.25">
      <c r="B3" s="5"/>
      <c r="C3" s="5"/>
      <c r="D3" s="5"/>
      <c r="E3" s="5"/>
      <c r="F3" s="6" t="s">
        <v>1</v>
      </c>
      <c r="G3" s="6" t="s">
        <v>1</v>
      </c>
      <c r="H3" s="6" t="s">
        <v>1</v>
      </c>
      <c r="I3" s="6" t="s">
        <v>1</v>
      </c>
      <c r="J3" s="6" t="s">
        <v>1</v>
      </c>
      <c r="K3" s="6" t="s">
        <v>1</v>
      </c>
      <c r="L3" s="6" t="s">
        <v>1</v>
      </c>
      <c r="M3" s="6" t="s">
        <v>1</v>
      </c>
      <c r="N3" s="6" t="s">
        <v>1</v>
      </c>
      <c r="O3" s="6" t="s">
        <v>1</v>
      </c>
      <c r="P3" s="6" t="s">
        <v>1</v>
      </c>
      <c r="Q3" s="6"/>
      <c r="R3" s="6" t="s">
        <v>2</v>
      </c>
    </row>
    <row r="4" spans="2:18" ht="12" customHeight="1" x14ac:dyDescent="0.25">
      <c r="B4" s="5" t="s">
        <v>3</v>
      </c>
      <c r="C4" s="5"/>
      <c r="D4" s="5"/>
      <c r="E4" s="5"/>
      <c r="F4" s="6">
        <v>0</v>
      </c>
      <c r="G4" s="6">
        <v>1</v>
      </c>
      <c r="H4" s="6">
        <v>2</v>
      </c>
      <c r="I4" s="6">
        <v>3</v>
      </c>
      <c r="J4" s="6">
        <v>4</v>
      </c>
      <c r="K4" s="6">
        <v>5</v>
      </c>
      <c r="L4" s="6">
        <v>6</v>
      </c>
      <c r="M4" s="6">
        <v>7</v>
      </c>
      <c r="N4" s="6">
        <v>8</v>
      </c>
      <c r="O4" s="6">
        <v>9</v>
      </c>
      <c r="P4" s="6">
        <v>10</v>
      </c>
      <c r="Q4" s="6"/>
      <c r="R4" s="6"/>
    </row>
    <row r="5" spans="2:18" ht="12" customHeight="1" x14ac:dyDescent="0.25">
      <c r="B5" s="2"/>
      <c r="C5" s="2"/>
      <c r="D5" s="2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4"/>
    </row>
    <row r="6" spans="2:18" ht="12" customHeight="1" x14ac:dyDescent="0.25">
      <c r="B6" s="5" t="s">
        <v>4</v>
      </c>
      <c r="C6" s="5"/>
      <c r="D6" s="5"/>
      <c r="E6" s="5"/>
      <c r="F6" s="7"/>
      <c r="G6" s="7">
        <f>G8</f>
        <v>9907513.8820914999</v>
      </c>
      <c r="H6" s="7">
        <f t="shared" ref="H6:P6" si="0">H8</f>
        <v>11121107.058091499</v>
      </c>
      <c r="I6" s="7">
        <f t="shared" si="0"/>
        <v>11121107.058091499</v>
      </c>
      <c r="J6" s="7">
        <f t="shared" si="0"/>
        <v>11121107.058091499</v>
      </c>
      <c r="K6" s="7">
        <f t="shared" si="0"/>
        <v>11121107.058091499</v>
      </c>
      <c r="L6" s="7">
        <f t="shared" si="0"/>
        <v>8693920.7060915008</v>
      </c>
      <c r="M6" s="7">
        <f t="shared" si="0"/>
        <v>8693920.7060915008</v>
      </c>
      <c r="N6" s="7">
        <f t="shared" si="0"/>
        <v>8693920.7060915008</v>
      </c>
      <c r="O6" s="7">
        <f t="shared" si="0"/>
        <v>8693920.7060915008</v>
      </c>
      <c r="P6" s="7">
        <f t="shared" si="0"/>
        <v>8693920.7060915008</v>
      </c>
      <c r="Q6" s="7"/>
      <c r="R6" s="7">
        <f>SUM(F6:P6)</f>
        <v>97861545.644914985</v>
      </c>
    </row>
    <row r="7" spans="2:18" ht="12" customHeight="1" x14ac:dyDescent="0.25">
      <c r="B7" s="8"/>
      <c r="C7" s="9"/>
      <c r="D7" s="9"/>
      <c r="E7" s="9"/>
      <c r="F7" s="10"/>
      <c r="G7" s="11"/>
      <c r="H7" s="11"/>
      <c r="I7" s="11"/>
      <c r="J7" s="11"/>
      <c r="K7" s="11"/>
      <c r="L7" s="11"/>
      <c r="M7" s="11"/>
      <c r="N7" s="11"/>
      <c r="O7" s="11"/>
      <c r="P7" s="11"/>
      <c r="Q7" s="12"/>
      <c r="R7" s="13"/>
    </row>
    <row r="8" spans="2:18" ht="12" customHeight="1" x14ac:dyDescent="0.25">
      <c r="B8" s="15" t="s">
        <v>5</v>
      </c>
      <c r="C8" s="9"/>
      <c r="D8" s="9"/>
      <c r="E8" s="9"/>
      <c r="F8" s="10"/>
      <c r="G8" s="12">
        <f>SUM(G9:G10)</f>
        <v>9907513.8820914999</v>
      </c>
      <c r="H8" s="12">
        <f t="shared" ref="H8:P8" si="1">SUM(H9:H10)</f>
        <v>11121107.058091499</v>
      </c>
      <c r="I8" s="12">
        <f t="shared" si="1"/>
        <v>11121107.058091499</v>
      </c>
      <c r="J8" s="12">
        <f t="shared" si="1"/>
        <v>11121107.058091499</v>
      </c>
      <c r="K8" s="12">
        <f t="shared" si="1"/>
        <v>11121107.058091499</v>
      </c>
      <c r="L8" s="12">
        <f t="shared" si="1"/>
        <v>8693920.7060915008</v>
      </c>
      <c r="M8" s="12">
        <f t="shared" si="1"/>
        <v>8693920.7060915008</v>
      </c>
      <c r="N8" s="12">
        <f t="shared" si="1"/>
        <v>8693920.7060915008</v>
      </c>
      <c r="O8" s="12">
        <f t="shared" si="1"/>
        <v>8693920.7060915008</v>
      </c>
      <c r="P8" s="12">
        <f t="shared" si="1"/>
        <v>8693920.7060915008</v>
      </c>
      <c r="Q8" s="12"/>
      <c r="R8" s="13">
        <f>SUM(F8:P8)</f>
        <v>97861545.644914985</v>
      </c>
    </row>
    <row r="9" spans="2:18" ht="12" customHeight="1" x14ac:dyDescent="0.25">
      <c r="B9" s="8"/>
      <c r="C9" s="73" t="s">
        <v>85</v>
      </c>
      <c r="D9" s="2"/>
      <c r="E9" s="9"/>
      <c r="F9" s="10"/>
      <c r="G9" s="71">
        <f>6764305.5*(1+'Premissas Financeiras'!$B$22)</f>
        <v>7480327.5300914999</v>
      </c>
      <c r="H9" s="71">
        <f>6764305.5*(1+'Premissas Financeiras'!$B$22)</f>
        <v>7480327.5300914999</v>
      </c>
      <c r="I9" s="71">
        <f>6764305.5*(1+'Premissas Financeiras'!$B$22)</f>
        <v>7480327.5300914999</v>
      </c>
      <c r="J9" s="71">
        <f>6764305.5*(1+'Premissas Financeiras'!$B$22)</f>
        <v>7480327.5300914999</v>
      </c>
      <c r="K9" s="71">
        <f>6764305.5*(1+'Premissas Financeiras'!$B$22)</f>
        <v>7480327.5300914999</v>
      </c>
      <c r="L9" s="71">
        <f>6764305.5*(1+'Premissas Financeiras'!$B$22)</f>
        <v>7480327.5300914999</v>
      </c>
      <c r="M9" s="71">
        <f>6764305.5*(1+'Premissas Financeiras'!$B$22)</f>
        <v>7480327.5300914999</v>
      </c>
      <c r="N9" s="71">
        <f>6764305.5*(1+'Premissas Financeiras'!$B$22)</f>
        <v>7480327.5300914999</v>
      </c>
      <c r="O9" s="71">
        <f>6764305.5*(1+'Premissas Financeiras'!$B$22)</f>
        <v>7480327.5300914999</v>
      </c>
      <c r="P9" s="71">
        <f>6764305.5*(1+'Premissas Financeiras'!$B$22)</f>
        <v>7480327.5300914999</v>
      </c>
      <c r="Q9" s="71"/>
      <c r="R9" s="72">
        <f t="shared" ref="R9:R10" si="2">SUM(F9:P9)</f>
        <v>74803275.300915003</v>
      </c>
    </row>
    <row r="10" spans="2:18" ht="12" customHeight="1" x14ac:dyDescent="0.25">
      <c r="B10" s="8"/>
      <c r="C10" s="2" t="s">
        <v>7</v>
      </c>
      <c r="D10" s="9"/>
      <c r="E10" s="9"/>
      <c r="F10" s="10"/>
      <c r="G10" s="12">
        <f>-$F$42/5</f>
        <v>2427186.352</v>
      </c>
      <c r="H10" s="12">
        <f t="shared" ref="H10:K10" si="3">-$F$42/5+-(G$43)</f>
        <v>3640779.5279999999</v>
      </c>
      <c r="I10" s="12">
        <f t="shared" si="3"/>
        <v>3640779.5279999999</v>
      </c>
      <c r="J10" s="12">
        <f t="shared" si="3"/>
        <v>3640779.5279999999</v>
      </c>
      <c r="K10" s="12">
        <f t="shared" si="3"/>
        <v>3640779.5279999999</v>
      </c>
      <c r="L10" s="12">
        <f t="shared" ref="L10:P10" si="4">-(K$43)</f>
        <v>1213593.176</v>
      </c>
      <c r="M10" s="12">
        <f t="shared" si="4"/>
        <v>1213593.176</v>
      </c>
      <c r="N10" s="12">
        <f t="shared" si="4"/>
        <v>1213593.176</v>
      </c>
      <c r="O10" s="12">
        <f t="shared" si="4"/>
        <v>1213593.176</v>
      </c>
      <c r="P10" s="12">
        <f t="shared" si="4"/>
        <v>1213593.176</v>
      </c>
      <c r="Q10" s="12"/>
      <c r="R10" s="13">
        <f t="shared" si="2"/>
        <v>23058270.343999997</v>
      </c>
    </row>
    <row r="11" spans="2:18" ht="12" customHeight="1" x14ac:dyDescent="0.25">
      <c r="B11" s="8"/>
      <c r="C11" s="9"/>
      <c r="D11" s="9"/>
      <c r="E11" s="9"/>
      <c r="F11" s="1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2"/>
      <c r="R11" s="13"/>
    </row>
    <row r="12" spans="2:18" ht="12" customHeight="1" x14ac:dyDescent="0.25">
      <c r="B12" s="8"/>
      <c r="C12" s="9"/>
      <c r="D12" s="9"/>
      <c r="E12" s="9"/>
      <c r="F12" s="10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2"/>
      <c r="R12" s="13"/>
    </row>
    <row r="13" spans="2:18" ht="12" customHeight="1" x14ac:dyDescent="0.25">
      <c r="B13" s="2"/>
      <c r="C13" s="2"/>
      <c r="D13" s="2"/>
      <c r="E13" s="2"/>
      <c r="F13" s="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3"/>
    </row>
    <row r="14" spans="2:18" ht="12" customHeight="1" x14ac:dyDescent="0.25">
      <c r="B14" s="15" t="s">
        <v>8</v>
      </c>
      <c r="C14" s="2"/>
      <c r="D14" s="2"/>
      <c r="E14" s="2"/>
      <c r="F14" s="12"/>
      <c r="G14" s="12">
        <f t="shared" ref="G14:P14" si="5">SUM(G15:G17)</f>
        <v>-559774.53433816973</v>
      </c>
      <c r="H14" s="12">
        <f t="shared" si="5"/>
        <v>-628342.5487821697</v>
      </c>
      <c r="I14" s="12">
        <f t="shared" si="5"/>
        <v>-628342.5487821697</v>
      </c>
      <c r="J14" s="12">
        <f t="shared" si="5"/>
        <v>-628342.5487821697</v>
      </c>
      <c r="K14" s="12">
        <f t="shared" si="5"/>
        <v>-628342.5487821697</v>
      </c>
      <c r="L14" s="12">
        <f t="shared" si="5"/>
        <v>-491206.51989416976</v>
      </c>
      <c r="M14" s="12">
        <f t="shared" si="5"/>
        <v>-491206.51989416976</v>
      </c>
      <c r="N14" s="12">
        <f t="shared" si="5"/>
        <v>-491206.51989416976</v>
      </c>
      <c r="O14" s="12">
        <f t="shared" si="5"/>
        <v>-491206.51989416976</v>
      </c>
      <c r="P14" s="12">
        <f t="shared" si="5"/>
        <v>-491206.51989416976</v>
      </c>
      <c r="Q14" s="12"/>
      <c r="R14" s="13">
        <f t="shared" ref="R14:R17" si="6">SUM(F14:P14)</f>
        <v>-5529177.3289376972</v>
      </c>
    </row>
    <row r="15" spans="2:18" ht="12" customHeight="1" x14ac:dyDescent="0.25">
      <c r="B15" s="2"/>
      <c r="C15" s="2" t="s">
        <v>9</v>
      </c>
      <c r="D15" s="2"/>
      <c r="E15" s="2"/>
      <c r="F15" s="12"/>
      <c r="G15" s="12">
        <f>-G$8*0.02</f>
        <v>-198150.27764183001</v>
      </c>
      <c r="H15" s="12">
        <f>-H$8*0.02</f>
        <v>-222422.14116182999</v>
      </c>
      <c r="I15" s="12">
        <f t="shared" ref="I15:P15" si="7">-I$8*0.02</f>
        <v>-222422.14116182999</v>
      </c>
      <c r="J15" s="12">
        <f t="shared" si="7"/>
        <v>-222422.14116182999</v>
      </c>
      <c r="K15" s="12">
        <f t="shared" si="7"/>
        <v>-222422.14116182999</v>
      </c>
      <c r="L15" s="12">
        <f t="shared" si="7"/>
        <v>-173878.41412183002</v>
      </c>
      <c r="M15" s="12">
        <f t="shared" si="7"/>
        <v>-173878.41412183002</v>
      </c>
      <c r="N15" s="12">
        <f t="shared" si="7"/>
        <v>-173878.41412183002</v>
      </c>
      <c r="O15" s="12">
        <f t="shared" si="7"/>
        <v>-173878.41412183002</v>
      </c>
      <c r="P15" s="12">
        <f t="shared" si="7"/>
        <v>-173878.41412183002</v>
      </c>
      <c r="Q15" s="12"/>
      <c r="R15" s="13">
        <f t="shared" si="6"/>
        <v>-1957230.9128982993</v>
      </c>
    </row>
    <row r="16" spans="2:18" ht="12" customHeight="1" x14ac:dyDescent="0.25">
      <c r="B16" s="2"/>
      <c r="C16" s="2" t="s">
        <v>10</v>
      </c>
      <c r="D16" s="2"/>
      <c r="E16" s="2"/>
      <c r="F16" s="12"/>
      <c r="G16" s="12">
        <f>-G$8*0.0065</f>
        <v>-64398.840233594747</v>
      </c>
      <c r="H16" s="12">
        <f>-H$8*0.0065</f>
        <v>-72287.195877594742</v>
      </c>
      <c r="I16" s="12">
        <f t="shared" ref="I16:P16" si="8">-I$8*0.0065</f>
        <v>-72287.195877594742</v>
      </c>
      <c r="J16" s="12">
        <f t="shared" si="8"/>
        <v>-72287.195877594742</v>
      </c>
      <c r="K16" s="12">
        <f t="shared" si="8"/>
        <v>-72287.195877594742</v>
      </c>
      <c r="L16" s="12">
        <f t="shared" si="8"/>
        <v>-56510.484589594751</v>
      </c>
      <c r="M16" s="12">
        <f t="shared" si="8"/>
        <v>-56510.484589594751</v>
      </c>
      <c r="N16" s="12">
        <f t="shared" si="8"/>
        <v>-56510.484589594751</v>
      </c>
      <c r="O16" s="12">
        <f t="shared" si="8"/>
        <v>-56510.484589594751</v>
      </c>
      <c r="P16" s="12">
        <f t="shared" si="8"/>
        <v>-56510.484589594751</v>
      </c>
      <c r="Q16" s="12"/>
      <c r="R16" s="13">
        <f t="shared" si="6"/>
        <v>-636100.0466919475</v>
      </c>
    </row>
    <row r="17" spans="2:18" ht="12" customHeight="1" x14ac:dyDescent="0.25">
      <c r="B17" s="2"/>
      <c r="C17" s="2" t="s">
        <v>11</v>
      </c>
      <c r="D17" s="2"/>
      <c r="E17" s="2"/>
      <c r="F17" s="12"/>
      <c r="G17" s="12">
        <f>-G$8*0.03</f>
        <v>-297225.41646274499</v>
      </c>
      <c r="H17" s="12">
        <f>-H$8*0.03</f>
        <v>-333633.21174274496</v>
      </c>
      <c r="I17" s="12">
        <f>-I$8*0.03</f>
        <v>-333633.21174274496</v>
      </c>
      <c r="J17" s="12">
        <f t="shared" ref="J17:P17" si="9">-J$8*0.03</f>
        <v>-333633.21174274496</v>
      </c>
      <c r="K17" s="12">
        <f t="shared" si="9"/>
        <v>-333633.21174274496</v>
      </c>
      <c r="L17" s="12">
        <f t="shared" si="9"/>
        <v>-260817.621182745</v>
      </c>
      <c r="M17" s="12">
        <f t="shared" si="9"/>
        <v>-260817.621182745</v>
      </c>
      <c r="N17" s="12">
        <f t="shared" si="9"/>
        <v>-260817.621182745</v>
      </c>
      <c r="O17" s="12">
        <f t="shared" si="9"/>
        <v>-260817.621182745</v>
      </c>
      <c r="P17" s="12">
        <f t="shared" si="9"/>
        <v>-260817.621182745</v>
      </c>
      <c r="Q17" s="12"/>
      <c r="R17" s="13">
        <f t="shared" si="6"/>
        <v>-2935846.3693474494</v>
      </c>
    </row>
    <row r="18" spans="2:18" ht="12" customHeight="1" x14ac:dyDescent="0.25">
      <c r="B18" s="2"/>
      <c r="C18" s="2"/>
      <c r="D18" s="2"/>
      <c r="E18" s="2"/>
      <c r="F18" s="3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3"/>
    </row>
    <row r="19" spans="2:18" ht="12" customHeight="1" x14ac:dyDescent="0.25">
      <c r="B19" s="17" t="s">
        <v>12</v>
      </c>
      <c r="C19" s="5"/>
      <c r="D19" s="5"/>
      <c r="E19" s="5"/>
      <c r="F19" s="7"/>
      <c r="G19" s="7">
        <f t="shared" ref="G19:P19" si="10">G6+G14</f>
        <v>9347739.3477533311</v>
      </c>
      <c r="H19" s="7">
        <f t="shared" si="10"/>
        <v>10492764.509309329</v>
      </c>
      <c r="I19" s="7">
        <f t="shared" si="10"/>
        <v>10492764.509309329</v>
      </c>
      <c r="J19" s="7">
        <f t="shared" si="10"/>
        <v>10492764.509309329</v>
      </c>
      <c r="K19" s="7">
        <f t="shared" si="10"/>
        <v>10492764.509309329</v>
      </c>
      <c r="L19" s="7">
        <f t="shared" si="10"/>
        <v>8202714.1861973312</v>
      </c>
      <c r="M19" s="7">
        <f t="shared" si="10"/>
        <v>8202714.1861973312</v>
      </c>
      <c r="N19" s="7">
        <f t="shared" si="10"/>
        <v>8202714.1861973312</v>
      </c>
      <c r="O19" s="7">
        <f t="shared" si="10"/>
        <v>8202714.1861973312</v>
      </c>
      <c r="P19" s="7">
        <f t="shared" si="10"/>
        <v>8202714.1861973312</v>
      </c>
      <c r="Q19" s="7"/>
      <c r="R19" s="7">
        <f>SUM(F19:P19)</f>
        <v>92332368.31597729</v>
      </c>
    </row>
    <row r="20" spans="2:18" ht="12" customHeight="1" x14ac:dyDescent="0.25">
      <c r="B20" s="18"/>
      <c r="C20" s="18"/>
      <c r="D20" s="18"/>
      <c r="E20" s="18"/>
      <c r="F20" s="19"/>
      <c r="G20" s="20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2"/>
    </row>
    <row r="21" spans="2:18" ht="12" customHeight="1" x14ac:dyDescent="0.25">
      <c r="B21" s="74" t="s">
        <v>13</v>
      </c>
      <c r="C21" s="75"/>
      <c r="D21" s="75"/>
      <c r="E21" s="75"/>
      <c r="F21" s="76"/>
      <c r="G21" s="76">
        <f t="shared" ref="G21:P21" si="11">SUM(G23:G24)</f>
        <v>-4329299.439024142</v>
      </c>
      <c r="H21" s="76">
        <f t="shared" si="11"/>
        <v>-4329299.439024142</v>
      </c>
      <c r="I21" s="76">
        <f t="shared" si="11"/>
        <v>-4329299.439024142</v>
      </c>
      <c r="J21" s="76">
        <f t="shared" si="11"/>
        <v>-4329299.439024142</v>
      </c>
      <c r="K21" s="76">
        <f t="shared" si="11"/>
        <v>-4329299.439024142</v>
      </c>
      <c r="L21" s="76">
        <f t="shared" si="11"/>
        <v>-4329299.439024142</v>
      </c>
      <c r="M21" s="76">
        <f t="shared" si="11"/>
        <v>-4329299.439024142</v>
      </c>
      <c r="N21" s="76">
        <f t="shared" si="11"/>
        <v>-4329299.439024142</v>
      </c>
      <c r="O21" s="76">
        <f t="shared" si="11"/>
        <v>-4329299.439024142</v>
      </c>
      <c r="P21" s="76">
        <f t="shared" si="11"/>
        <v>-4329299.439024142</v>
      </c>
      <c r="Q21" s="76"/>
      <c r="R21" s="76">
        <f>SUM(F21:P21)</f>
        <v>-43292994.390241422</v>
      </c>
    </row>
    <row r="22" spans="2:18" ht="12" customHeight="1" x14ac:dyDescent="0.25">
      <c r="B22" s="2"/>
      <c r="C22" s="2"/>
      <c r="D22" s="2"/>
      <c r="E22" s="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3"/>
    </row>
    <row r="23" spans="2:18" ht="12" customHeight="1" x14ac:dyDescent="0.25">
      <c r="B23" s="2" t="s">
        <v>14</v>
      </c>
      <c r="C23" s="2"/>
      <c r="D23" s="2"/>
      <c r="E23" s="2"/>
      <c r="F23" s="12"/>
      <c r="G23" s="12">
        <f>(-G$9*(1-0.02-0.0065-0.03))*DFs_EmpresaNacional!$O$8</f>
        <v>-4216771.7628994416</v>
      </c>
      <c r="H23" s="12">
        <f>(-H$9*(1-0.02-0.0065-0.03))*DFs_EmpresaNacional!$O$8</f>
        <v>-4216771.7628994416</v>
      </c>
      <c r="I23" s="12">
        <f>(-I$9*(1-0.02-0.0065-0.03))*DFs_EmpresaNacional!$O$8</f>
        <v>-4216771.7628994416</v>
      </c>
      <c r="J23" s="12">
        <f>(-J$9*(1-0.02-0.0065-0.03))*DFs_EmpresaNacional!$O$8</f>
        <v>-4216771.7628994416</v>
      </c>
      <c r="K23" s="12">
        <f>(-K$9*(1-0.02-0.0065-0.03))*DFs_EmpresaNacional!$O$8</f>
        <v>-4216771.7628994416</v>
      </c>
      <c r="L23" s="12">
        <f>(-L$9*(1-0.02-0.0065-0.03))*DFs_EmpresaNacional!$O$8</f>
        <v>-4216771.7628994416</v>
      </c>
      <c r="M23" s="12">
        <f>(-M$9*(1-0.02-0.0065-0.03))*DFs_EmpresaNacional!$O$8</f>
        <v>-4216771.7628994416</v>
      </c>
      <c r="N23" s="12">
        <f>(-N$9*(1-0.02-0.0065-0.03))*DFs_EmpresaNacional!$O$8</f>
        <v>-4216771.7628994416</v>
      </c>
      <c r="O23" s="12">
        <f>(-O$9*(1-0.02-0.0065-0.03))*DFs_EmpresaNacional!$O$8</f>
        <v>-4216771.7628994416</v>
      </c>
      <c r="P23" s="12">
        <f>(-P$9*(1-0.02-0.0065-0.03))*DFs_EmpresaNacional!$O$8</f>
        <v>-4216771.7628994416</v>
      </c>
      <c r="Q23" s="12"/>
      <c r="R23" s="13">
        <f t="shared" ref="R23:R24" si="12">SUM(F23:P23)</f>
        <v>-42167717.628994428</v>
      </c>
    </row>
    <row r="24" spans="2:18" ht="12" customHeight="1" x14ac:dyDescent="0.25">
      <c r="B24" s="2" t="s">
        <v>15</v>
      </c>
      <c r="C24" s="2"/>
      <c r="D24" s="2"/>
      <c r="E24" s="2"/>
      <c r="F24" s="12"/>
      <c r="G24" s="12">
        <f>((-G$9*(1-0.02-0.0065-0.03))*DFs_EmpresaNacional!$O$14)*0.1</f>
        <v>-112527.67612470052</v>
      </c>
      <c r="H24" s="12">
        <f>((-H$9*(1-0.02-0.0065-0.03))*DFs_EmpresaNacional!$O$14)*0.1</f>
        <v>-112527.67612470052</v>
      </c>
      <c r="I24" s="12">
        <f>((-I$9*(1-0.02-0.0065-0.03))*DFs_EmpresaNacional!$O$14)*0.1</f>
        <v>-112527.67612470052</v>
      </c>
      <c r="J24" s="12">
        <f>((-J$9*(1-0.02-0.0065-0.03))*DFs_EmpresaNacional!$O$14)*0.1</f>
        <v>-112527.67612470052</v>
      </c>
      <c r="K24" s="12">
        <f>((-K$9*(1-0.02-0.0065-0.03))*DFs_EmpresaNacional!$O$14)*0.1</f>
        <v>-112527.67612470052</v>
      </c>
      <c r="L24" s="12">
        <f>((-L$9*(1-0.02-0.0065-0.03))*DFs_EmpresaNacional!$O$14)*0.1</f>
        <v>-112527.67612470052</v>
      </c>
      <c r="M24" s="12">
        <f>((-M$9*(1-0.02-0.0065-0.03))*DFs_EmpresaNacional!$O$14)*0.1</f>
        <v>-112527.67612470052</v>
      </c>
      <c r="N24" s="12">
        <f>((-N$9*(1-0.02-0.0065-0.03))*DFs_EmpresaNacional!$O$14)*0.1</f>
        <v>-112527.67612470052</v>
      </c>
      <c r="O24" s="12">
        <f>((-O$9*(1-0.02-0.0065-0.03))*DFs_EmpresaNacional!$O$14)*0.1</f>
        <v>-112527.67612470052</v>
      </c>
      <c r="P24" s="12">
        <f>((-P$9*(1-0.02-0.0065-0.03))*DFs_EmpresaNacional!$O$14)*0.1</f>
        <v>-112527.67612470052</v>
      </c>
      <c r="Q24" s="12"/>
      <c r="R24" s="13">
        <f t="shared" si="12"/>
        <v>-1125276.7612470055</v>
      </c>
    </row>
    <row r="25" spans="2:18" ht="12" customHeight="1" x14ac:dyDescent="0.25">
      <c r="B25" s="2"/>
      <c r="C25" s="2"/>
      <c r="D25" s="2"/>
      <c r="E25" s="2"/>
      <c r="F25" s="3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3"/>
    </row>
    <row r="26" spans="2:18" ht="12" customHeight="1" x14ac:dyDescent="0.25">
      <c r="B26" s="17" t="s">
        <v>16</v>
      </c>
      <c r="C26" s="5"/>
      <c r="D26" s="5"/>
      <c r="E26" s="5"/>
      <c r="F26" s="7"/>
      <c r="G26" s="7">
        <f t="shared" ref="G26:P26" si="13">G19+G21</f>
        <v>5018439.9087291891</v>
      </c>
      <c r="H26" s="7">
        <f t="shared" si="13"/>
        <v>6163465.0702851871</v>
      </c>
      <c r="I26" s="7">
        <f t="shared" si="13"/>
        <v>6163465.0702851871</v>
      </c>
      <c r="J26" s="7">
        <f t="shared" si="13"/>
        <v>6163465.0702851871</v>
      </c>
      <c r="K26" s="7">
        <f t="shared" si="13"/>
        <v>6163465.0702851871</v>
      </c>
      <c r="L26" s="7">
        <f t="shared" si="13"/>
        <v>3873414.7471731892</v>
      </c>
      <c r="M26" s="7">
        <f t="shared" si="13"/>
        <v>3873414.7471731892</v>
      </c>
      <c r="N26" s="7">
        <f t="shared" si="13"/>
        <v>3873414.7471731892</v>
      </c>
      <c r="O26" s="7">
        <f t="shared" si="13"/>
        <v>3873414.7471731892</v>
      </c>
      <c r="P26" s="7">
        <f t="shared" si="13"/>
        <v>3873414.7471731892</v>
      </c>
      <c r="Q26" s="7"/>
      <c r="R26" s="7">
        <f t="shared" ref="R26:R28" si="14">SUM(F26:P26)</f>
        <v>49039373.925735883</v>
      </c>
    </row>
    <row r="27" spans="2:18" ht="12" customHeight="1" x14ac:dyDescent="0.25">
      <c r="B27" s="2"/>
      <c r="C27" s="2" t="s">
        <v>17</v>
      </c>
      <c r="D27" s="2"/>
      <c r="E27" s="2"/>
      <c r="F27" s="3"/>
      <c r="G27" s="12">
        <f t="shared" ref="G27:P27" si="15">-25%*G26</f>
        <v>-1254609.9771822973</v>
      </c>
      <c r="H27" s="12">
        <f t="shared" si="15"/>
        <v>-1540866.2675712968</v>
      </c>
      <c r="I27" s="12">
        <f t="shared" si="15"/>
        <v>-1540866.2675712968</v>
      </c>
      <c r="J27" s="12">
        <f t="shared" si="15"/>
        <v>-1540866.2675712968</v>
      </c>
      <c r="K27" s="12">
        <f t="shared" si="15"/>
        <v>-1540866.2675712968</v>
      </c>
      <c r="L27" s="12">
        <f t="shared" si="15"/>
        <v>-968353.6867932973</v>
      </c>
      <c r="M27" s="12">
        <f t="shared" si="15"/>
        <v>-968353.6867932973</v>
      </c>
      <c r="N27" s="12">
        <f t="shared" si="15"/>
        <v>-968353.6867932973</v>
      </c>
      <c r="O27" s="12">
        <f t="shared" si="15"/>
        <v>-968353.6867932973</v>
      </c>
      <c r="P27" s="12">
        <f t="shared" si="15"/>
        <v>-968353.6867932973</v>
      </c>
      <c r="Q27" s="12"/>
      <c r="R27" s="13">
        <f t="shared" si="14"/>
        <v>-12259843.481433971</v>
      </c>
    </row>
    <row r="28" spans="2:18" ht="12" customHeight="1" x14ac:dyDescent="0.25">
      <c r="B28" s="2"/>
      <c r="C28" s="2" t="s">
        <v>18</v>
      </c>
      <c r="D28" s="2"/>
      <c r="E28" s="2"/>
      <c r="F28" s="3"/>
      <c r="G28" s="12">
        <f t="shared" ref="G28:P28" si="16">-9%*G26</f>
        <v>-451659.59178562701</v>
      </c>
      <c r="H28" s="12">
        <f t="shared" si="16"/>
        <v>-554711.85632566677</v>
      </c>
      <c r="I28" s="12">
        <f t="shared" si="16"/>
        <v>-554711.85632566677</v>
      </c>
      <c r="J28" s="12">
        <f t="shared" si="16"/>
        <v>-554711.85632566677</v>
      </c>
      <c r="K28" s="12">
        <f t="shared" si="16"/>
        <v>-554711.85632566677</v>
      </c>
      <c r="L28" s="12">
        <f t="shared" si="16"/>
        <v>-348607.32724558702</v>
      </c>
      <c r="M28" s="12">
        <f t="shared" si="16"/>
        <v>-348607.32724558702</v>
      </c>
      <c r="N28" s="12">
        <f t="shared" si="16"/>
        <v>-348607.32724558702</v>
      </c>
      <c r="O28" s="12">
        <f t="shared" si="16"/>
        <v>-348607.32724558702</v>
      </c>
      <c r="P28" s="12">
        <f t="shared" si="16"/>
        <v>-348607.32724558702</v>
      </c>
      <c r="Q28" s="12"/>
      <c r="R28" s="13">
        <f t="shared" si="14"/>
        <v>-4413543.6533162296</v>
      </c>
    </row>
    <row r="29" spans="2:18" ht="12" customHeight="1" x14ac:dyDescent="0.25">
      <c r="B29" s="2"/>
      <c r="C29" s="2"/>
      <c r="D29" s="2"/>
      <c r="E29" s="2"/>
      <c r="F29" s="3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3"/>
    </row>
    <row r="30" spans="2:18" ht="12" customHeight="1" x14ac:dyDescent="0.25">
      <c r="B30" s="17" t="s">
        <v>19</v>
      </c>
      <c r="C30" s="5"/>
      <c r="D30" s="5"/>
      <c r="E30" s="5"/>
      <c r="F30" s="7"/>
      <c r="G30" s="7">
        <f t="shared" ref="G30:P30" si="17">SUM(G26:G28)</f>
        <v>3312170.3397612651</v>
      </c>
      <c r="H30" s="7">
        <f t="shared" si="17"/>
        <v>4067886.9463882237</v>
      </c>
      <c r="I30" s="7">
        <f t="shared" si="17"/>
        <v>4067886.9463882237</v>
      </c>
      <c r="J30" s="7">
        <f t="shared" si="17"/>
        <v>4067886.9463882237</v>
      </c>
      <c r="K30" s="7">
        <f t="shared" si="17"/>
        <v>4067886.9463882237</v>
      </c>
      <c r="L30" s="7">
        <f t="shared" si="17"/>
        <v>2556453.7331343046</v>
      </c>
      <c r="M30" s="7">
        <f t="shared" si="17"/>
        <v>2556453.7331343046</v>
      </c>
      <c r="N30" s="7">
        <f t="shared" si="17"/>
        <v>2556453.7331343046</v>
      </c>
      <c r="O30" s="7">
        <f t="shared" si="17"/>
        <v>2556453.7331343046</v>
      </c>
      <c r="P30" s="7">
        <f t="shared" si="17"/>
        <v>2556453.7331343046</v>
      </c>
      <c r="Q30" s="7"/>
      <c r="R30" s="7">
        <f>SUM(F30:P30)</f>
        <v>32365986.790985677</v>
      </c>
    </row>
    <row r="31" spans="2:18" ht="12" customHeight="1" x14ac:dyDescent="0.25">
      <c r="B31" s="2"/>
      <c r="C31" s="2"/>
      <c r="D31" s="2"/>
      <c r="E31" s="2"/>
      <c r="F31" s="23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3"/>
    </row>
    <row r="32" spans="2:18" ht="12" customHeight="1" x14ac:dyDescent="0.25">
      <c r="B32" s="1" t="s">
        <v>20</v>
      </c>
      <c r="C32" s="2"/>
      <c r="D32" s="2"/>
      <c r="E32" s="2"/>
      <c r="F32" s="3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3"/>
    </row>
    <row r="33" spans="2:18" ht="12" customHeight="1" x14ac:dyDescent="0.25">
      <c r="B33" s="14" t="s">
        <v>21</v>
      </c>
      <c r="C33" s="2"/>
      <c r="D33" s="2"/>
      <c r="E33" s="2"/>
      <c r="F33" s="3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3"/>
    </row>
    <row r="34" spans="2:18" ht="12" customHeight="1" x14ac:dyDescent="0.25">
      <c r="B34" s="2"/>
      <c r="C34" s="2" t="s">
        <v>22</v>
      </c>
      <c r="D34" s="2"/>
      <c r="E34" s="2"/>
      <c r="F34" s="12"/>
      <c r="G34" s="12">
        <f t="shared" ref="G34:P34" si="18">G30</f>
        <v>3312170.3397612651</v>
      </c>
      <c r="H34" s="12">
        <f t="shared" si="18"/>
        <v>4067886.9463882237</v>
      </c>
      <c r="I34" s="12">
        <f t="shared" si="18"/>
        <v>4067886.9463882237</v>
      </c>
      <c r="J34" s="12">
        <f t="shared" si="18"/>
        <v>4067886.9463882237</v>
      </c>
      <c r="K34" s="12">
        <f t="shared" si="18"/>
        <v>4067886.9463882237</v>
      </c>
      <c r="L34" s="12">
        <f t="shared" si="18"/>
        <v>2556453.7331343046</v>
      </c>
      <c r="M34" s="12">
        <f t="shared" si="18"/>
        <v>2556453.7331343046</v>
      </c>
      <c r="N34" s="12">
        <f t="shared" si="18"/>
        <v>2556453.7331343046</v>
      </c>
      <c r="O34" s="12">
        <f t="shared" si="18"/>
        <v>2556453.7331343046</v>
      </c>
      <c r="P34" s="12">
        <f t="shared" si="18"/>
        <v>2556453.7331343046</v>
      </c>
      <c r="Q34" s="12"/>
      <c r="R34" s="13">
        <f>SUM(F34:P34)</f>
        <v>32365986.790985677</v>
      </c>
    </row>
    <row r="35" spans="2:18" ht="12" customHeight="1" x14ac:dyDescent="0.25">
      <c r="B35" s="2"/>
      <c r="C35" s="2"/>
      <c r="D35" s="2"/>
      <c r="E35" s="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3"/>
      <c r="R35" s="13"/>
    </row>
    <row r="36" spans="2:18" ht="12" customHeight="1" x14ac:dyDescent="0.25">
      <c r="B36" s="2"/>
      <c r="C36" s="2"/>
      <c r="D36" s="2"/>
      <c r="E36" s="2"/>
      <c r="F36" s="3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3"/>
    </row>
    <row r="37" spans="2:18" ht="12" customHeight="1" x14ac:dyDescent="0.25">
      <c r="B37" s="17" t="s">
        <v>23</v>
      </c>
      <c r="C37" s="5"/>
      <c r="D37" s="5"/>
      <c r="E37" s="5"/>
      <c r="F37" s="7"/>
      <c r="G37" s="7">
        <f t="shared" ref="G37:P37" si="19">SUM(G34)</f>
        <v>3312170.3397612651</v>
      </c>
      <c r="H37" s="7">
        <f t="shared" si="19"/>
        <v>4067886.9463882237</v>
      </c>
      <c r="I37" s="7">
        <f t="shared" si="19"/>
        <v>4067886.9463882237</v>
      </c>
      <c r="J37" s="7">
        <f t="shared" si="19"/>
        <v>4067886.9463882237</v>
      </c>
      <c r="K37" s="7">
        <f t="shared" si="19"/>
        <v>4067886.9463882237</v>
      </c>
      <c r="L37" s="7">
        <f t="shared" si="19"/>
        <v>2556453.7331343046</v>
      </c>
      <c r="M37" s="7">
        <f t="shared" si="19"/>
        <v>2556453.7331343046</v>
      </c>
      <c r="N37" s="7">
        <f t="shared" si="19"/>
        <v>2556453.7331343046</v>
      </c>
      <c r="O37" s="7">
        <f t="shared" si="19"/>
        <v>2556453.7331343046</v>
      </c>
      <c r="P37" s="7">
        <f t="shared" si="19"/>
        <v>2556453.7331343046</v>
      </c>
      <c r="Q37" s="7"/>
      <c r="R37" s="7">
        <f>SUM(F37:P37)</f>
        <v>32365986.790985677</v>
      </c>
    </row>
    <row r="38" spans="2:18" ht="12" customHeight="1" x14ac:dyDescent="0.25">
      <c r="B38" s="2"/>
      <c r="C38" s="2"/>
      <c r="D38" s="2"/>
      <c r="E38" s="2"/>
      <c r="F38" s="3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3"/>
    </row>
    <row r="39" spans="2:18" ht="12" customHeight="1" x14ac:dyDescent="0.25">
      <c r="B39" s="14" t="s">
        <v>24</v>
      </c>
      <c r="C39" s="2"/>
      <c r="D39" s="2"/>
      <c r="E39" s="2"/>
      <c r="F39" s="3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3"/>
    </row>
    <row r="40" spans="2:18" ht="12" customHeight="1" x14ac:dyDescent="0.25">
      <c r="B40" s="14" t="s">
        <v>25</v>
      </c>
      <c r="C40" s="2"/>
      <c r="D40" s="2"/>
      <c r="E40" s="2"/>
      <c r="F40" s="3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3"/>
    </row>
    <row r="41" spans="2:18" ht="12" customHeight="1" x14ac:dyDescent="0.25">
      <c r="B41" s="2" t="s">
        <v>26</v>
      </c>
      <c r="C41" s="2"/>
      <c r="D41" s="2"/>
      <c r="E41" s="2"/>
      <c r="F41" s="3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3"/>
    </row>
    <row r="42" spans="2:18" ht="12" customHeight="1" x14ac:dyDescent="0.25">
      <c r="B42" s="2"/>
      <c r="C42" s="73" t="s">
        <v>86</v>
      </c>
      <c r="D42" s="2"/>
      <c r="E42" s="2"/>
      <c r="F42" s="71">
        <f>-'Premissas Financeiras'!D21</f>
        <v>-12135931.76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3"/>
    </row>
    <row r="43" spans="2:18" ht="12" customHeight="1" x14ac:dyDescent="0.25">
      <c r="B43" s="2"/>
      <c r="C43" s="2" t="s">
        <v>27</v>
      </c>
      <c r="D43" s="2"/>
      <c r="E43" s="2"/>
      <c r="F43" s="3"/>
      <c r="G43" s="12">
        <f>$F$42*'Premissas Operacionais'!$B$6</f>
        <v>-1213593.176</v>
      </c>
      <c r="H43" s="12">
        <f>$F$42*'Premissas Operacionais'!$B$6</f>
        <v>-1213593.176</v>
      </c>
      <c r="I43" s="12">
        <f>$F$42*'Premissas Operacionais'!$B$6</f>
        <v>-1213593.176</v>
      </c>
      <c r="J43" s="12">
        <f>$F$42*'Premissas Operacionais'!$B$6</f>
        <v>-1213593.176</v>
      </c>
      <c r="K43" s="12">
        <f>$F$42*'Premissas Operacionais'!$B$6</f>
        <v>-1213593.176</v>
      </c>
      <c r="L43" s="12">
        <f>$F$42*'Premissas Operacionais'!$B$6</f>
        <v>-1213593.176</v>
      </c>
      <c r="M43" s="12">
        <f>$F$42*'Premissas Operacionais'!$B$6</f>
        <v>-1213593.176</v>
      </c>
      <c r="N43" s="12">
        <f>$F$42*'Premissas Operacionais'!$B$6</f>
        <v>-1213593.176</v>
      </c>
      <c r="O43" s="12">
        <f>$F$42*'Premissas Operacionais'!$B$6</f>
        <v>-1213593.176</v>
      </c>
      <c r="P43" s="12">
        <f>$F$42*'Premissas Operacionais'!$B$6</f>
        <v>-1213593.176</v>
      </c>
      <c r="Q43" s="12"/>
      <c r="R43" s="13">
        <f>SUM(F43:P43)</f>
        <v>-12135931.759999998</v>
      </c>
    </row>
    <row r="44" spans="2:18" ht="12" customHeight="1" x14ac:dyDescent="0.25">
      <c r="B44" s="2"/>
      <c r="C44" s="2"/>
      <c r="D44" s="2"/>
      <c r="E44" s="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3"/>
    </row>
    <row r="45" spans="2:18" ht="12" customHeight="1" x14ac:dyDescent="0.25">
      <c r="B45" s="14"/>
      <c r="C45" s="2"/>
      <c r="D45" s="2"/>
      <c r="E45" s="2"/>
      <c r="F45" s="3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3"/>
    </row>
    <row r="46" spans="2:18" ht="12" customHeight="1" x14ac:dyDescent="0.25">
      <c r="B46" s="14"/>
      <c r="C46" s="2"/>
      <c r="D46" s="2"/>
      <c r="E46" s="2"/>
      <c r="F46" s="3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3"/>
    </row>
    <row r="47" spans="2:18" ht="12" customHeight="1" x14ac:dyDescent="0.25">
      <c r="B47" s="14" t="s">
        <v>28</v>
      </c>
      <c r="C47" s="14"/>
      <c r="D47" s="14"/>
      <c r="E47" s="14"/>
      <c r="F47" s="81">
        <f>IRR(F51:P51)</f>
        <v>0.12520000007756282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2"/>
      <c r="R47" s="13"/>
    </row>
    <row r="49" spans="2:18" ht="12" customHeight="1" x14ac:dyDescent="0.25">
      <c r="B49" s="74" t="s">
        <v>29</v>
      </c>
      <c r="C49" s="75"/>
      <c r="D49" s="75"/>
      <c r="E49" s="75"/>
      <c r="F49" s="76">
        <f t="shared" ref="F49:P49" si="20">SUM(F40:F45)</f>
        <v>-12135931.76</v>
      </c>
      <c r="G49" s="76">
        <f t="shared" si="20"/>
        <v>-1213593.176</v>
      </c>
      <c r="H49" s="76">
        <f t="shared" si="20"/>
        <v>-1213593.176</v>
      </c>
      <c r="I49" s="76">
        <f t="shared" si="20"/>
        <v>-1213593.176</v>
      </c>
      <c r="J49" s="76">
        <f t="shared" si="20"/>
        <v>-1213593.176</v>
      </c>
      <c r="K49" s="76">
        <f t="shared" si="20"/>
        <v>-1213593.176</v>
      </c>
      <c r="L49" s="76">
        <f t="shared" si="20"/>
        <v>-1213593.176</v>
      </c>
      <c r="M49" s="76">
        <f t="shared" si="20"/>
        <v>-1213593.176</v>
      </c>
      <c r="N49" s="76">
        <f t="shared" si="20"/>
        <v>-1213593.176</v>
      </c>
      <c r="O49" s="76">
        <f t="shared" si="20"/>
        <v>-1213593.176</v>
      </c>
      <c r="P49" s="76">
        <f t="shared" si="20"/>
        <v>-1213593.176</v>
      </c>
      <c r="Q49" s="76"/>
      <c r="R49" s="76">
        <f>SUM(F49:P49)</f>
        <v>-24271863.519999992</v>
      </c>
    </row>
    <row r="50" spans="2:18" ht="12" customHeight="1" x14ac:dyDescent="0.25">
      <c r="B50" s="24"/>
      <c r="C50" s="24"/>
      <c r="D50" s="24"/>
      <c r="E50" s="24"/>
      <c r="F50" s="25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7"/>
    </row>
    <row r="51" spans="2:18" ht="12" customHeight="1" x14ac:dyDescent="0.25">
      <c r="B51" s="74" t="s">
        <v>30</v>
      </c>
      <c r="C51" s="75"/>
      <c r="D51" s="75"/>
      <c r="E51" s="75"/>
      <c r="F51" s="76">
        <f t="shared" ref="F51:P51" si="21">F37+F49</f>
        <v>-12135931.76</v>
      </c>
      <c r="G51" s="76">
        <f t="shared" si="21"/>
        <v>2098577.1637612651</v>
      </c>
      <c r="H51" s="76">
        <f t="shared" si="21"/>
        <v>2854293.7703882237</v>
      </c>
      <c r="I51" s="76">
        <f t="shared" si="21"/>
        <v>2854293.7703882237</v>
      </c>
      <c r="J51" s="76">
        <f t="shared" si="21"/>
        <v>2854293.7703882237</v>
      </c>
      <c r="K51" s="76">
        <f t="shared" si="21"/>
        <v>2854293.7703882237</v>
      </c>
      <c r="L51" s="76">
        <f t="shared" si="21"/>
        <v>1342860.5571343047</v>
      </c>
      <c r="M51" s="76">
        <f t="shared" si="21"/>
        <v>1342860.5571343047</v>
      </c>
      <c r="N51" s="76">
        <f t="shared" si="21"/>
        <v>1342860.5571343047</v>
      </c>
      <c r="O51" s="76">
        <f t="shared" si="21"/>
        <v>1342860.5571343047</v>
      </c>
      <c r="P51" s="76">
        <f t="shared" si="21"/>
        <v>1342860.5571343047</v>
      </c>
      <c r="Q51" s="76"/>
      <c r="R51" s="76">
        <f>SUM(F51:P51)</f>
        <v>8094123.2709856816</v>
      </c>
    </row>
    <row r="52" spans="2:18" ht="12" customHeight="1" x14ac:dyDescent="0.25">
      <c r="B52" s="24"/>
      <c r="C52" s="24"/>
      <c r="D52" s="24"/>
      <c r="E52" s="24"/>
      <c r="F52" s="28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9"/>
    </row>
    <row r="53" spans="2:18" ht="12" customHeight="1" x14ac:dyDescent="0.25">
      <c r="B53" s="24"/>
      <c r="C53" s="24"/>
      <c r="D53" s="24"/>
      <c r="E53" s="30" t="s">
        <v>31</v>
      </c>
      <c r="F53" s="31">
        <f>NPV('Premissas Financeiras'!B18,G51:P51)+F42</f>
        <v>3.3084694296121597E-3</v>
      </c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9"/>
    </row>
    <row r="54" spans="2:18" ht="12" customHeight="1" x14ac:dyDescent="0.25">
      <c r="B54" s="24"/>
      <c r="C54" s="24"/>
      <c r="D54" s="24"/>
      <c r="E54" s="32"/>
      <c r="F54" s="27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9"/>
    </row>
    <row r="55" spans="2:18" ht="12" customHeight="1" x14ac:dyDescent="0.25">
      <c r="B55" s="24"/>
      <c r="C55" s="24"/>
      <c r="D55" s="24"/>
      <c r="H55" s="33"/>
      <c r="I55" s="33"/>
      <c r="J55" s="33"/>
      <c r="K55" s="33"/>
      <c r="L55" s="33"/>
      <c r="M55" s="33"/>
      <c r="N55" s="33"/>
      <c r="O55" s="33"/>
      <c r="P55" s="33"/>
      <c r="Q55" s="25"/>
      <c r="R55" s="29"/>
    </row>
    <row r="56" spans="2:18" x14ac:dyDescent="0.25"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6"/>
      <c r="R56" s="45"/>
    </row>
    <row r="57" spans="2:18" x14ac:dyDescent="0.25">
      <c r="E57" s="47"/>
      <c r="R57" s="44"/>
    </row>
    <row r="58" spans="2:18" ht="15" customHeight="1" x14ac:dyDescent="0.25">
      <c r="R58" s="44"/>
    </row>
  </sheetData>
  <conditionalFormatting sqref="G6:R51 F42 F49 F51 F53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4:R17"/>
  <sheetViews>
    <sheetView showGridLines="0" workbookViewId="0"/>
  </sheetViews>
  <sheetFormatPr defaultColWidth="14.42578125" defaultRowHeight="15" customHeight="1" x14ac:dyDescent="0.25"/>
  <cols>
    <col min="1" max="15" width="8.7109375" customWidth="1"/>
    <col min="16" max="16" width="10" customWidth="1"/>
    <col min="17" max="26" width="8.7109375" customWidth="1"/>
  </cols>
  <sheetData>
    <row r="4" spans="15:18" ht="15" customHeight="1" x14ac:dyDescent="0.25">
      <c r="O4" s="34"/>
      <c r="P4" s="35"/>
      <c r="Q4" s="36">
        <v>2020</v>
      </c>
      <c r="R4" s="36">
        <v>2019</v>
      </c>
    </row>
    <row r="5" spans="15:18" ht="15" customHeight="1" x14ac:dyDescent="0.25">
      <c r="O5" s="34"/>
      <c r="P5" s="34" t="s">
        <v>32</v>
      </c>
      <c r="Q5" s="37">
        <f>50500/100803</f>
        <v>0.50097715345773441</v>
      </c>
      <c r="R5" s="37">
        <f>52408/147724</f>
        <v>0.35476970566732557</v>
      </c>
    </row>
    <row r="6" spans="15:18" ht="15" customHeight="1" x14ac:dyDescent="0.25">
      <c r="O6" s="34"/>
      <c r="P6" s="34"/>
      <c r="Q6" s="34"/>
      <c r="R6" s="34"/>
    </row>
    <row r="7" spans="15:18" ht="15" customHeight="1" x14ac:dyDescent="0.25">
      <c r="O7" s="38" t="s">
        <v>33</v>
      </c>
      <c r="P7" s="34"/>
      <c r="Q7" s="39"/>
      <c r="R7" s="34"/>
    </row>
    <row r="8" spans="15:18" ht="15" customHeight="1" x14ac:dyDescent="0.25">
      <c r="O8" s="40">
        <f>AVERAGE($R$5,EarningRelease_Referência!$O$12)</f>
        <v>0.59747202634983432</v>
      </c>
      <c r="P8" s="34"/>
      <c r="Q8" s="34"/>
      <c r="R8" s="34"/>
    </row>
    <row r="9" spans="15:18" ht="15" customHeight="1" x14ac:dyDescent="0.25">
      <c r="O9" s="34"/>
      <c r="P9" s="34"/>
      <c r="Q9" s="34"/>
      <c r="R9" s="34"/>
    </row>
    <row r="10" spans="15:18" ht="15" customHeight="1" x14ac:dyDescent="0.25">
      <c r="O10" s="35"/>
      <c r="P10" s="36">
        <v>2020</v>
      </c>
      <c r="Q10" s="36">
        <v>2019</v>
      </c>
      <c r="R10" s="34"/>
    </row>
    <row r="11" spans="15:18" ht="15" customHeight="1" x14ac:dyDescent="0.25">
      <c r="O11" s="34" t="s">
        <v>34</v>
      </c>
      <c r="P11" s="37">
        <f>46984/100803</f>
        <v>0.46609723916946916</v>
      </c>
      <c r="Q11" s="37">
        <f>31687/147724</f>
        <v>0.21450136741490888</v>
      </c>
      <c r="R11" s="34"/>
    </row>
    <row r="12" spans="15:18" ht="15" customHeight="1" x14ac:dyDescent="0.25">
      <c r="O12" s="34"/>
      <c r="P12" s="34"/>
      <c r="Q12" s="34"/>
      <c r="R12" s="34"/>
    </row>
    <row r="13" spans="15:18" ht="15" customHeight="1" x14ac:dyDescent="0.25">
      <c r="O13" s="38" t="s">
        <v>33</v>
      </c>
      <c r="P13" s="34"/>
      <c r="Q13" s="34"/>
      <c r="R13" s="34"/>
    </row>
    <row r="14" spans="15:18" ht="15" customHeight="1" x14ac:dyDescent="0.25">
      <c r="O14" s="40">
        <f>AVERAGE($Q$11,EarningRelease_Referência!$O$18)</f>
        <v>0.15943983325394409</v>
      </c>
      <c r="P14" s="34"/>
      <c r="Q14" s="34"/>
      <c r="R14" s="34"/>
    </row>
    <row r="17" spans="3:4" ht="15" customHeight="1" x14ac:dyDescent="0.25">
      <c r="C17" s="32" t="s">
        <v>35</v>
      </c>
      <c r="D17" s="41" t="s">
        <v>36</v>
      </c>
    </row>
  </sheetData>
  <hyperlinks>
    <hyperlink ref="D17" r:id="rId1" xr:uid="{00000000-0004-0000-0300-000000000000}"/>
  </hyperlinks>
  <pageMargins left="0.511811024" right="0.511811024" top="0.78740157499999996" bottom="0.78740157499999996" header="0" footer="0"/>
  <pageSetup orientation="landscape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N8:O18"/>
  <sheetViews>
    <sheetView showGridLines="0" tabSelected="1" topLeftCell="A7" workbookViewId="0"/>
  </sheetViews>
  <sheetFormatPr defaultColWidth="14.42578125" defaultRowHeight="15" customHeight="1" x14ac:dyDescent="0.25"/>
  <cols>
    <col min="1" max="26" width="8.7109375" customWidth="1"/>
  </cols>
  <sheetData>
    <row r="8" spans="14:15" ht="15" customHeight="1" x14ac:dyDescent="0.25">
      <c r="N8" s="34" t="s">
        <v>37</v>
      </c>
      <c r="O8" s="39">
        <f>237066/281878</f>
        <v>0.84102342148021481</v>
      </c>
    </row>
    <row r="9" spans="14:15" ht="15" customHeight="1" x14ac:dyDescent="0.25">
      <c r="N9" s="34" t="s">
        <v>38</v>
      </c>
      <c r="O9" s="39">
        <f>473810/565130</f>
        <v>0.83840886167784401</v>
      </c>
    </row>
    <row r="10" spans="14:15" ht="15" customHeight="1" x14ac:dyDescent="0.25">
      <c r="N10" s="34" t="s">
        <v>39</v>
      </c>
      <c r="O10" s="39">
        <f>738566/878105</f>
        <v>0.84109075793897081</v>
      </c>
    </row>
    <row r="11" spans="14:15" ht="15" customHeight="1" x14ac:dyDescent="0.25">
      <c r="N11" s="34"/>
      <c r="O11" s="34"/>
    </row>
    <row r="12" spans="14:15" ht="15" customHeight="1" x14ac:dyDescent="0.25">
      <c r="N12" s="42" t="s">
        <v>40</v>
      </c>
      <c r="O12" s="43">
        <f>AVERAGE(O8:O10)</f>
        <v>0.84017434703234317</v>
      </c>
    </row>
    <row r="13" spans="14:15" ht="15" customHeight="1" x14ac:dyDescent="0.25">
      <c r="N13" s="34"/>
      <c r="O13" s="34"/>
    </row>
    <row r="14" spans="14:15" ht="15" customHeight="1" x14ac:dyDescent="0.25">
      <c r="N14" s="34" t="s">
        <v>41</v>
      </c>
      <c r="O14" s="37">
        <f>27395/281878</f>
        <v>9.7187435699132255E-2</v>
      </c>
    </row>
    <row r="15" spans="14:15" ht="15" customHeight="1" x14ac:dyDescent="0.25">
      <c r="N15" s="34" t="s">
        <v>42</v>
      </c>
      <c r="O15" s="37">
        <f>62154/565130</f>
        <v>0.10998177410507316</v>
      </c>
    </row>
    <row r="16" spans="14:15" ht="15" customHeight="1" x14ac:dyDescent="0.25">
      <c r="N16" s="34" t="s">
        <v>43</v>
      </c>
      <c r="O16" s="37">
        <f>93049/878105</f>
        <v>0.10596568747473252</v>
      </c>
    </row>
    <row r="18" spans="14:15" ht="15" customHeight="1" x14ac:dyDescent="0.25">
      <c r="N18" s="42" t="s">
        <v>40</v>
      </c>
      <c r="O18" s="43">
        <f>AVERAGE(O14:O16)</f>
        <v>0.10437829909297931</v>
      </c>
    </row>
  </sheetData>
  <sheetProtection sheet="1" objects="1" scenarios="1"/>
  <pageMargins left="0.511811024" right="0.511811024" top="0.78740157499999996" bottom="0.78740157499999996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Capa</vt:lpstr>
      <vt:lpstr>Premissas Operacionais</vt:lpstr>
      <vt:lpstr>Premissas Financeiras</vt:lpstr>
      <vt:lpstr>Fluxo de Caixa</vt:lpstr>
      <vt:lpstr>DFs_EmpresaNacional</vt:lpstr>
      <vt:lpstr>EarningRelease_Referência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Vinícius Galante de Souza</dc:creator>
  <cp:lastModifiedBy>Paulo Henrique Lima Albano</cp:lastModifiedBy>
  <cp:lastPrinted>2026-03-19T16:49:51Z</cp:lastPrinted>
  <dcterms:created xsi:type="dcterms:W3CDTF">2023-11-16T13:28:33Z</dcterms:created>
  <dcterms:modified xsi:type="dcterms:W3CDTF">2026-03-24T18:19:56Z</dcterms:modified>
  <cp:contentStatus/>
</cp:coreProperties>
</file>